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https://labasesrl-my.sharepoint.com/personal/pezzuto_labaserevisioni_com/Documents/CIFRA Srl/LAVORI/Lavori 2026/23 - Hera Luce - Lodi - Riemissione/"/>
    </mc:Choice>
  </mc:AlternateContent>
  <xr:revisionPtr revIDLastSave="12" documentId="8_{3793D849-0269-4A18-B7AD-89153A317388}" xr6:coauthVersionLast="47" xr6:coauthVersionMax="47" xr10:uidLastSave="{4379DD5A-2C4C-4E7B-A51F-33E78245A40B}"/>
  <bookViews>
    <workbookView xWindow="-120" yWindow="-120" windowWidth="29040" windowHeight="15840" tabRatio="741" activeTab="5" xr2:uid="{00000000-000D-0000-FFFF-FFFF00000000}"/>
  </bookViews>
  <sheets>
    <sheet name="IN" sheetId="1" r:id="rId1"/>
    <sheet name="Riepilogo" sheetId="2" r:id="rId2"/>
    <sheet name="Dati di base" sheetId="11" r:id="rId3"/>
    <sheet name="Piano di lavoro" sheetId="5" r:id="rId4"/>
    <sheet name="Investimenti" sheetId="6" r:id="rId5"/>
    <sheet name="CE CC opz1" sheetId="7" r:id="rId6"/>
    <sheet name="RF VAL_INV opz1" sheetId="8" r:id="rId7"/>
    <sheet name="SP opz1" sheetId="15" r:id="rId8"/>
    <sheet name="CE CC opz2" sheetId="23" r:id="rId9"/>
    <sheet name="RF VAL_INV opz2" sheetId="24" r:id="rId10"/>
    <sheet name="SP opz2" sheetId="25" r:id="rId11"/>
    <sheet name="QUADRO ECONOMICO" sheetId="18" r:id="rId12"/>
    <sheet name="WACC+FONTI" sheetId="21" r:id="rId13"/>
    <sheet name="Riepilogo Servizio" sheetId="20" r:id="rId14"/>
    <sheet name="IP servizio" sheetId="19" r:id="rId15"/>
  </sheets>
  <definedNames>
    <definedName name="\0" localSheetId="11">#REF!</definedName>
    <definedName name="\0">#REF!</definedName>
    <definedName name="\m" localSheetId="11">#REF!</definedName>
    <definedName name="\m">#REF!</definedName>
    <definedName name="\qe2" localSheetId="11">#REF!</definedName>
    <definedName name="\qe2">#REF!</definedName>
    <definedName name="\s" localSheetId="11">#REF!</definedName>
    <definedName name="\s">#REF!</definedName>
    <definedName name="\z" localSheetId="11">#REF!</definedName>
    <definedName name="\z">#REF!</definedName>
    <definedName name="_" localSheetId="11">#REF!</definedName>
    <definedName name="_">#REF!</definedName>
    <definedName name="_______ss1" localSheetId="11" hidden="1">{#N/A,#N/A,FALSE,"P&amp;L-BS-CF"}</definedName>
    <definedName name="_______ss1" hidden="1">{#N/A,#N/A,FALSE,"P&amp;L-BS-CF"}</definedName>
    <definedName name="___RF1996" localSheetId="11">#REF!</definedName>
    <definedName name="___RF1996">#REF!</definedName>
    <definedName name="___RF1998" localSheetId="11">#REF!</definedName>
    <definedName name="___RF1998">#REF!</definedName>
    <definedName name="___RF1999" localSheetId="11">#REF!</definedName>
    <definedName name="___RF1999">#REF!</definedName>
    <definedName name="___RF2000">#REF!</definedName>
    <definedName name="___RF2001">#REF!</definedName>
    <definedName name="___SP1996">#REF!</definedName>
    <definedName name="___SP1998">#REF!</definedName>
    <definedName name="___SP1999">#REF!</definedName>
    <definedName name="___SP2000">#REF!</definedName>
    <definedName name="___SP2001">#REF!</definedName>
    <definedName name="__123Graph_A" localSheetId="11" hidden="1">#REF!</definedName>
    <definedName name="__123Graph_A" hidden="1">#REF!</definedName>
    <definedName name="__123Graph_AACSSERV" hidden="1">#REF!</definedName>
    <definedName name="__123Graph_AANDASEL" localSheetId="11" hidden="1">#REF!</definedName>
    <definedName name="__123Graph_AANDASEL" hidden="1">#REF!</definedName>
    <definedName name="__123Graph_AANDMEDEL" localSheetId="11" hidden="1">#REF!</definedName>
    <definedName name="__123Graph_AANDMEDEL" hidden="1">#REF!</definedName>
    <definedName name="__123Graph_AASSORB" localSheetId="11" hidden="1">#REF!</definedName>
    <definedName name="__123Graph_AASSORB" hidden="1">#REF!</definedName>
    <definedName name="__123Graph_AELETTR" hidden="1">#REF!</definedName>
    <definedName name="__123Graph_AFRIFIERA" hidden="1">#REF!</definedName>
    <definedName name="__123Graph_AINTERM" localSheetId="11" hidden="1">#REF!</definedName>
    <definedName name="__123Graph_AINTERM" hidden="1">#REF!</definedName>
    <definedName name="__123Graph_AINTERM1" localSheetId="11" hidden="1">#REF!</definedName>
    <definedName name="__123Graph_AINTERM1" hidden="1">#REF!</definedName>
    <definedName name="__123Graph_ATERMINV" hidden="1">#REF!</definedName>
    <definedName name="__123Graph_B" localSheetId="11" hidden="1">#REF!</definedName>
    <definedName name="__123Graph_B" hidden="1">#REF!</definedName>
    <definedName name="__123Graph_BACSSERV" hidden="1">#REF!</definedName>
    <definedName name="__123Graph_BANDASEL" localSheetId="11" hidden="1">#REF!</definedName>
    <definedName name="__123Graph_BANDASEL" hidden="1">#REF!</definedName>
    <definedName name="__123Graph_BANDMEDEL" localSheetId="11" hidden="1">#REF!</definedName>
    <definedName name="__123Graph_BANDMEDEL" hidden="1">#REF!</definedName>
    <definedName name="__123Graph_BASSORB" hidden="1">#REF!</definedName>
    <definedName name="__123Graph_BELETTR" localSheetId="11" hidden="1">#REF!</definedName>
    <definedName name="__123Graph_BELETTR" hidden="1">#REF!</definedName>
    <definedName name="__123Graph_BFRIFIERA" hidden="1">#REF!</definedName>
    <definedName name="__123Graph_BINTERM" localSheetId="11" hidden="1">#REF!</definedName>
    <definedName name="__123Graph_BINTERM" hidden="1">#REF!</definedName>
    <definedName name="__123Graph_BINTERM1" localSheetId="11" hidden="1">#REF!</definedName>
    <definedName name="__123Graph_BINTERM1" hidden="1">#REF!</definedName>
    <definedName name="__123Graph_BTERMINV" hidden="1">#REF!</definedName>
    <definedName name="__123Graph_CACSSERV" localSheetId="11" hidden="1">#REF!</definedName>
    <definedName name="__123Graph_CACSSERV" hidden="1">#REF!</definedName>
    <definedName name="__123Graph_CANDASEL" localSheetId="11" hidden="1">#REF!</definedName>
    <definedName name="__123Graph_CANDASEL" hidden="1">#REF!</definedName>
    <definedName name="__123Graph_CANDMEDEL" localSheetId="11" hidden="1">#REF!</definedName>
    <definedName name="__123Graph_CANDMEDEL" hidden="1">#REF!</definedName>
    <definedName name="__123Graph_CASSORB" localSheetId="11" hidden="1">#REF!</definedName>
    <definedName name="__123Graph_CASSORB" hidden="1">#REF!</definedName>
    <definedName name="__123Graph_CELETTR" hidden="1">#REF!</definedName>
    <definedName name="__123Graph_CFRIFIERA" hidden="1">#REF!</definedName>
    <definedName name="__123Graph_CFRIRIZ" hidden="1">#REF!</definedName>
    <definedName name="__123Graph_CINTERM" localSheetId="11" hidden="1">#REF!</definedName>
    <definedName name="__123Graph_CINTERM" hidden="1">#REF!</definedName>
    <definedName name="__123Graph_CTERMINV" hidden="1">#REF!</definedName>
    <definedName name="__123Graph_D" hidden="1">#REF!</definedName>
    <definedName name="__123Graph_DANDAMED1" localSheetId="11" hidden="1">#REF!</definedName>
    <definedName name="__123Graph_DANDAMED1" hidden="1">#REF!</definedName>
    <definedName name="__123Graph_DANDMEDEL" localSheetId="11" hidden="1">#REF!</definedName>
    <definedName name="__123Graph_DANDMEDEL" hidden="1">#REF!</definedName>
    <definedName name="__123Graph_DASSORB" hidden="1">#REF!</definedName>
    <definedName name="__123Graph_DINTERM" hidden="1">#REF!</definedName>
    <definedName name="__123Graph_DINTERM1" hidden="1">#REF!</definedName>
    <definedName name="__123Graph_X" hidden="1">#REF!</definedName>
    <definedName name="__123Graph_XACSSERV" hidden="1">#REF!</definedName>
    <definedName name="__123Graph_XANDAMED1" hidden="1">#REF!</definedName>
    <definedName name="__123Graph_XANDASEL" hidden="1">#REF!</definedName>
    <definedName name="__123Graph_XANDMEDEL" hidden="1">#REF!</definedName>
    <definedName name="__123Graph_XASSORB" hidden="1">#REF!</definedName>
    <definedName name="__123Graph_XELETTR" hidden="1">#REF!</definedName>
    <definedName name="__123Graph_XFRIFIERA" hidden="1">#REF!</definedName>
    <definedName name="__123Graph_XFRIRIZ" hidden="1">#REF!</definedName>
    <definedName name="__123Graph_XINTERM" hidden="1">#REF!</definedName>
    <definedName name="__123Graph_XINTERM1" hidden="1">#REF!</definedName>
    <definedName name="__123Graph_XTERMINV" hidden="1">#REF!</definedName>
    <definedName name="__FDS_HYPERLINK_TOGGLE_STATE__" hidden="1">"ON"</definedName>
    <definedName name="__FDS_UNIQUE_RANGE_ID_GENERATOR_COUNTER" hidden="1">1</definedName>
    <definedName name="__IntlFixup" hidden="1">TRUE</definedName>
    <definedName name="__IntlFixupTable" hidden="1">#REF!</definedName>
    <definedName name="__MND5">#REF!</definedName>
    <definedName name="__RF1996">#REF!</definedName>
    <definedName name="__RF1998">#REF!</definedName>
    <definedName name="__RF1999">#REF!</definedName>
    <definedName name="__RF2000">#REF!</definedName>
    <definedName name="__RF2001">#REF!</definedName>
    <definedName name="__SP1996">#REF!</definedName>
    <definedName name="__SP1998">#REF!</definedName>
    <definedName name="__SP1999">#REF!</definedName>
    <definedName name="__SP2000">#REF!</definedName>
    <definedName name="__SP2001">#REF!</definedName>
    <definedName name="__ss1" localSheetId="11" hidden="1">{#N/A,#N/A,FALSE,"P&amp;L-BS-CF"}</definedName>
    <definedName name="__ss1" hidden="1">{#N/A,#N/A,FALSE,"P&amp;L-BS-CF"}</definedName>
    <definedName name="_Fill" hidden="1">#REF!</definedName>
    <definedName name="_xlnm._FilterDatabase" localSheetId="11" hidden="1">#REF!</definedName>
    <definedName name="_xlnm._FilterDatabase" hidden="1">#REF!</definedName>
    <definedName name="_Hlk77840526" localSheetId="11">#REF!</definedName>
    <definedName name="_Hlk77840526">#REF!</definedName>
    <definedName name="_MND5" localSheetId="11">#REF!</definedName>
    <definedName name="_MND5">#REF!</definedName>
    <definedName name="_Order1" hidden="1">255</definedName>
    <definedName name="_PCF1">#N/A</definedName>
    <definedName name="_PCF2">#N/A</definedName>
    <definedName name="_PCF3">#N/A</definedName>
    <definedName name="_PCF4">#N/A</definedName>
    <definedName name="_RCK10">#REF!</definedName>
    <definedName name="_RCK15">#REF!</definedName>
    <definedName name="_RCK20">#REF!</definedName>
    <definedName name="_RCK25">#REF!</definedName>
    <definedName name="_RCK30">#REF!</definedName>
    <definedName name="_RCK35">#REF!</definedName>
    <definedName name="_Regression_Out" hidden="1">#REF!</definedName>
    <definedName name="_Regression_X" hidden="1">#REF!</definedName>
    <definedName name="_Regression_Y" hidden="1">#REF!</definedName>
    <definedName name="_RF1996">#REF!</definedName>
    <definedName name="_RF1998">#REF!</definedName>
    <definedName name="_RF1999">#REF!</definedName>
    <definedName name="_RF2000">#REF!</definedName>
    <definedName name="_RF2001">#REF!</definedName>
    <definedName name="_SP1996">#REF!</definedName>
    <definedName name="_SP1998">#REF!</definedName>
    <definedName name="_SP1999">#REF!</definedName>
    <definedName name="_SP2000">#REF!</definedName>
    <definedName name="_SP2001">#REF!</definedName>
    <definedName name="_ss1" localSheetId="14" hidden="1">{#N/A,#N/A,FALSE,"P&amp;L-BS-CF"}</definedName>
    <definedName name="_ss1" localSheetId="11" hidden="1">{#N/A,#N/A,FALSE,"P&amp;L-BS-CF"}</definedName>
    <definedName name="_ss1" localSheetId="13" hidden="1">{#N/A,#N/A,FALSE,"P&amp;L-BS-CF"}</definedName>
    <definedName name="_ss1" hidden="1">{#N/A,#N/A,FALSE,"P&amp;L-BS-CF"}</definedName>
    <definedName name="_TCT01">#REF!</definedName>
    <definedName name="_TCT99">#REF!</definedName>
    <definedName name="_TV4">#REF!</definedName>
    <definedName name="_TVT2">#REF!</definedName>
    <definedName name="a">#REF!</definedName>
    <definedName name="AA.Report.Files" hidden="1">#REF!</definedName>
    <definedName name="AA.Reports.Available" hidden="1">#REF!</definedName>
    <definedName name="aaa" localSheetId="14" hidden="1">{#N/A,#N/A,FALSE,"P&amp;L-BS-CF"}</definedName>
    <definedName name="aaa" localSheetId="13" hidden="1">{#N/A,#N/A,FALSE,"P&amp;L-BS-CF"}</definedName>
    <definedName name="aaa">#REF!</definedName>
    <definedName name="aaaa" localSheetId="14" hidden="1">{#N/A,#N/A,FALSE,"P&amp;L-BS-CF"}</definedName>
    <definedName name="aaaa" localSheetId="13" hidden="1">{#N/A,#N/A,FALSE,"P&amp;L-BS-CF"}</definedName>
    <definedName name="aaaa">#REF!</definedName>
    <definedName name="aaaaaa" localSheetId="13" hidden="1">{#N/A,#N/A,FALSE,"Aging Summary";#N/A,#N/A,FALSE,"Ratio Analysis";#N/A,#N/A,FALSE,"Test 120 Day Accts";#N/A,#N/A,FALSE,"Tickmarks"}</definedName>
    <definedName name="aaaaaa" hidden="1">{#N/A,#N/A,FALSE,"Aging Summary";#N/A,#N/A,FALSE,"Ratio Analysis";#N/A,#N/A,FALSE,"Test 120 Day Accts";#N/A,#N/A,FALSE,"Tickmarks"}</definedName>
    <definedName name="aaaaaaaaaaaaa" localSheetId="13" hidden="1">{#N/A,#N/A,FALSE,"Aging Summary";#N/A,#N/A,FALSE,"Ratio Analysis";#N/A,#N/A,FALSE,"Test 120 Day Accts";#N/A,#N/A,FALSE,"Tickmarks"}</definedName>
    <definedName name="aaaaaaaaaaaaa" hidden="1">{#N/A,#N/A,FALSE,"Aging Summary";#N/A,#N/A,FALSE,"Ratio Analysis";#N/A,#N/A,FALSE,"Test 120 Day Accts";#N/A,#N/A,FALSE,"Tickmarks"}</definedName>
    <definedName name="aaaaaaaaaaaaaaa">#REF!</definedName>
    <definedName name="abc" localSheetId="11" hidden="1">{"key inputs",#N/A,TRUE,"Key Inputs";"key outputs",#N/A,TRUE,"Outputs";"Other inputs",#N/A,TRUE,"Other Inputs";"Revenue",#N/A,TRUE,"Rev"}</definedName>
    <definedName name="abc" hidden="1">{"key inputs",#N/A,TRUE,"Key Inputs";"key outputs",#N/A,TRUE,"Outputs";"Other inputs",#N/A,TRUE,"Other Inputs";"Revenue",#N/A,TRUE,"Rev"}</definedName>
    <definedName name="Accensione" localSheetId="11">#REF!</definedName>
    <definedName name="Accensione">#REF!</definedName>
    <definedName name="Access" localSheetId="11">#REF!</definedName>
    <definedName name="Access">#REF!</definedName>
    <definedName name="AccessDatabase" hidden="1">"C:\sicos40\SICOS_ACTUAL_BE.MDB"</definedName>
    <definedName name="Activity">#REF!</definedName>
    <definedName name="ag_marg">#REF!</definedName>
    <definedName name="AGG">#REF!</definedName>
    <definedName name="agg.oriz">#REF!</definedName>
    <definedName name="ago_1">#REF!</definedName>
    <definedName name="akdkjsd">#REF!</definedName>
    <definedName name="Altezza_SEM">#REF!</definedName>
    <definedName name="Altezze">#REF!</definedName>
    <definedName name="Ammontare">#REF!</definedName>
    <definedName name="AnagEnte" localSheetId="11">#REF!</definedName>
    <definedName name="AnagEnte">#REF!</definedName>
    <definedName name="AnagLot" localSheetId="11">#REF!</definedName>
    <definedName name="AnagLot">#REF!</definedName>
    <definedName name="anni" localSheetId="11">#REF!</definedName>
    <definedName name="anni">#REF!</definedName>
    <definedName name="Annuale_NF">#N/A</definedName>
    <definedName name="Annuale_VF">#N/A</definedName>
    <definedName name="anscount" hidden="1">2</definedName>
    <definedName name="Apparecchio" localSheetId="11">#REF!</definedName>
    <definedName name="Apparecchio">#REF!</definedName>
    <definedName name="Area" localSheetId="11">#REF!</definedName>
    <definedName name="Area">#REF!</definedName>
    <definedName name="Area_IPEA" localSheetId="11">#REF!</definedName>
    <definedName name="Area_IPEA">#REF!</definedName>
    <definedName name="_xlnm.Print_Area" localSheetId="5">'CE CC opz1'!$A$1:$Z$92</definedName>
    <definedName name="_xlnm.Print_Area" localSheetId="8">'CE CC opz2'!$A$1:$Z$92</definedName>
    <definedName name="_xlnm.Print_Area" localSheetId="2">'Dati di base'!$B$2:$C$35</definedName>
    <definedName name="_xlnm.Print_Area" localSheetId="4">Investimenti!$B$2:$Z$33</definedName>
    <definedName name="_xlnm.Print_Area" localSheetId="14">'IP servizio'!$A$1:$M$106</definedName>
    <definedName name="_xlnm.Print_Area" localSheetId="3">'Piano di lavoro'!$B$2:$AP$14</definedName>
    <definedName name="_xlnm.Print_Area" localSheetId="6">'RF VAL_INV opz1'!$A$1:$Z$60</definedName>
    <definedName name="_xlnm.Print_Area" localSheetId="9">'RF VAL_INV opz2'!$A$1:$Z$59</definedName>
    <definedName name="_xlnm.Print_Area" localSheetId="13">'Riepilogo Servizio'!$A$1:$G$33</definedName>
    <definedName name="_xlnm.Print_Area" localSheetId="7">'SP opz1'!$A$1:$Y$18</definedName>
    <definedName name="_xlnm.Print_Area" localSheetId="10">'SP opz2'!$A$1:$Y$18</definedName>
    <definedName name="Area_stampa_MI">#REF!</definedName>
    <definedName name="Areaverde" localSheetId="11">#REF!</definedName>
    <definedName name="Areaverde">#REF!</definedName>
    <definedName name="Armadio" localSheetId="11">#REF!</definedName>
    <definedName name="Armadio">#REF!</definedName>
    <definedName name="AS2DocOpenMode" hidden="1">"AS2DocumentEdit"</definedName>
    <definedName name="AS2HasNoAutoHeaderFooter" hidden="1">" "</definedName>
    <definedName name="asd" localSheetId="11" hidden="1">{"key inputs",#N/A,FALSE,"Key Inputs";"key outputs",#N/A,FALSE,"Outputs";"Other inputs",#N/A,FALSE,"Other Inputs";"cashflow",#N/A,FALSE,"Statemnts"}</definedName>
    <definedName name="asd" hidden="1">{"key inputs",#N/A,FALSE,"Key Inputs";"key outputs",#N/A,FALSE,"Outputs";"Other inputs",#N/A,FALSE,"Other Inputs";"cashflow",#N/A,FALSE,"Statemnts"}</definedName>
    <definedName name="ASS">#REF!</definedName>
    <definedName name="ASSEX">#REF!</definedName>
    <definedName name="Assistenti">#REF!</definedName>
    <definedName name="Attraversamentopedonale" localSheetId="11">#REF!</definedName>
    <definedName name="Attraversamentopedonale">#REF!</definedName>
    <definedName name="B" localSheetId="11">#REF!</definedName>
    <definedName name="B">#REF!</definedName>
    <definedName name="Bilancio.fin" localSheetId="11">IF(#REF!&lt;&gt;"",#REF!-#REF!,"")</definedName>
    <definedName name="Bilancio.fin">IF(#REF!&lt;&gt;"",#REF!-#REF!,"")</definedName>
    <definedName name="Bilancio.iniz" localSheetId="11">IF(#REF!&lt;&gt;"",#REF!,"")</definedName>
    <definedName name="Bilancio.iniz">IF(#REF!&lt;&gt;"",#REF!,"")</definedName>
    <definedName name="BLPH1" localSheetId="11" hidden="1">#REF!</definedName>
    <definedName name="BLPH1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OOL">#REF!</definedName>
    <definedName name="Caldaia_Condensazione">#REF!</definedName>
    <definedName name="CAP">#REF!</definedName>
    <definedName name="cappario" localSheetId="11">#REF!</definedName>
    <definedName name="cappario">#REF!</definedName>
    <definedName name="CashFlow" localSheetId="8">IF(Loan_Amount*Interest_Rate*Loan_Years*Loan_Start&gt;0,1,0)</definedName>
    <definedName name="CashFlow" localSheetId="11">IF(Loan_Amount*Interest_Rate*Loan_Years*Loan_Start&gt;0,1,0)</definedName>
    <definedName name="CashFlow" localSheetId="9">IF(Loan_Amount*Interest_Rate*Loan_Years*Loan_Start&gt;0,1,0)</definedName>
    <definedName name="CashFlow" localSheetId="10">IF(Loan_Amount*Interest_Rate*Loan_Years*Loan_Start&gt;0,1,0)</definedName>
    <definedName name="CashFlow">IF(Loan_Amount*Interest_Rate*Loan_Years*Loan_Start&gt;0,1,0)</definedName>
    <definedName name="CATEG" localSheetId="11">#REF!</definedName>
    <definedName name="CATEG">#REF!</definedName>
    <definedName name="Categoria" localSheetId="11">#REF!</definedName>
    <definedName name="Categoria">#REF!</definedName>
    <definedName name="cc" localSheetId="11">#REF!</definedName>
    <definedName name="cc">#REF!</definedName>
    <definedName name="CCGTarp">#REF!</definedName>
    <definedName name="CCGTtab">#REF!</definedName>
    <definedName name="CDriferimento">#REF!</definedName>
    <definedName name="Chius_1">#REF!</definedName>
    <definedName name="Chius_2A">#REF!</definedName>
    <definedName name="Chius_2B">#REF!</definedName>
    <definedName name="Chius_3">#REF!</definedName>
    <definedName name="Chius_4">#REF!</definedName>
    <definedName name="Chius_5">#REF!</definedName>
    <definedName name="Chius_6">#REF!</definedName>
    <definedName name="CHIUS_MANCANTE">#REF!</definedName>
    <definedName name="ChiusTOT">#REF!</definedName>
    <definedName name="CHR_CPI_EUR">#REF!</definedName>
    <definedName name="CHR_CPI_US">#REF!</definedName>
    <definedName name="CHR_EUR_USD">#REF!</definedName>
    <definedName name="ciccio" localSheetId="11" hidden="1">{"Contenu",#N/A,FALSE,"Contenu"}</definedName>
    <definedName name="ciccio" hidden="1">{"Contenu",#N/A,FALSE,"Contenu"}</definedName>
    <definedName name="ciccio_1">#REF!</definedName>
    <definedName name="ciccio_1_1">#REF!</definedName>
    <definedName name="ciccio_10_1">#REF!</definedName>
    <definedName name="ciccio_11_1">#REF!</definedName>
    <definedName name="ciccio_12_1">#REF!</definedName>
    <definedName name="ciccio_13_1">#REF!</definedName>
    <definedName name="ciccio_14_1">#REF!</definedName>
    <definedName name="ciccio_15_1">#REF!</definedName>
    <definedName name="ciccio_16_1">#REF!</definedName>
    <definedName name="ciccio_17_1">#REF!</definedName>
    <definedName name="ciccio_18_1">#REF!</definedName>
    <definedName name="ciccio_19_1">#REF!</definedName>
    <definedName name="ciccio_2_1">#REF!</definedName>
    <definedName name="ciccio_20_1">#REF!</definedName>
    <definedName name="ciccio_21_1">#REF!</definedName>
    <definedName name="ciccio_22_1">#REF!</definedName>
    <definedName name="ciccio_23_1">#REF!</definedName>
    <definedName name="ciccio_24_1">#REF!</definedName>
    <definedName name="ciccio_25_1">#REF!</definedName>
    <definedName name="ciccio_26_1">#REF!</definedName>
    <definedName name="ciccio_27_1">#REF!</definedName>
    <definedName name="ciccio_28_1">#REF!</definedName>
    <definedName name="ciccio_29_1">#REF!</definedName>
    <definedName name="ciccio_3_1">#REF!</definedName>
    <definedName name="ciccio_30_1">#REF!</definedName>
    <definedName name="ciccio_31_1">#REF!</definedName>
    <definedName name="ciccio_32_1">#REF!</definedName>
    <definedName name="ciccio_33_1">#REF!</definedName>
    <definedName name="ciccio_34_1">#REF!</definedName>
    <definedName name="ciccio_35_1">#REF!</definedName>
    <definedName name="ciccio_36_1">#REF!</definedName>
    <definedName name="ciccio_37_1">#REF!</definedName>
    <definedName name="ciccio_38_1">#REF!</definedName>
    <definedName name="ciccio_38_1_1">#REF!</definedName>
    <definedName name="ciccio_39_1">#REF!</definedName>
    <definedName name="ciccio_4_1">#REF!</definedName>
    <definedName name="ciccio_5_1">#REF!</definedName>
    <definedName name="ciccio_6_1">#REF!</definedName>
    <definedName name="ciccio_7_1">#REF!</definedName>
    <definedName name="ciccio_8_1">#REF!</definedName>
    <definedName name="ciccio_9_1">#REF!</definedName>
    <definedName name="ciccio2">#REF!</definedName>
    <definedName name="Classe">#REF!</definedName>
    <definedName name="Classe_TerraSi">#REF!</definedName>
    <definedName name="Classi_Carreggiata">#REF!</definedName>
    <definedName name="Classi_Marciapiede_e_Parcheggio">#REF!</definedName>
    <definedName name="CMEcoge">#REF!</definedName>
    <definedName name="CO2_EV">#REF!</definedName>
    <definedName name="CO2_Prz">#REF!</definedName>
    <definedName name="CO2_Si_No">#REF!</definedName>
    <definedName name="CodiciComponente" localSheetId="11">#REF!</definedName>
    <definedName name="CodiciComponente">#REF!</definedName>
    <definedName name="CodiciDug" localSheetId="11">#REF!</definedName>
    <definedName name="CodiciDug">#REF!</definedName>
    <definedName name="CodiciLottiCIG" localSheetId="11">#REF!</definedName>
    <definedName name="CodiciLottiCIG">#REF!</definedName>
    <definedName name="CodiciLotto" localSheetId="11">#REF!</definedName>
    <definedName name="CodiciLotto">#REF!</definedName>
    <definedName name="CodiciMercato" localSheetId="11">#REF!</definedName>
    <definedName name="CodiciMercato">#REF!</definedName>
    <definedName name="CodiciSoloCap" localSheetId="11">#REF!</definedName>
    <definedName name="CodiciSoloCap">#REF!</definedName>
    <definedName name="CodiciSoloComune" localSheetId="11">#REF!</definedName>
    <definedName name="CodiciSoloComune">#REF!</definedName>
    <definedName name="CodiciSoloPV" localSheetId="11">#REF!</definedName>
    <definedName name="CodiciSoloPV">#REF!</definedName>
    <definedName name="CodiciTensione" localSheetId="11">#REF!</definedName>
    <definedName name="CodiciTensione">#REF!</definedName>
    <definedName name="CoefficenteStagionale" localSheetId="11">#REF!</definedName>
    <definedName name="CoefficenteStagionale">#REF!</definedName>
    <definedName name="Cogeneratore" localSheetId="11">#REF!</definedName>
    <definedName name="Cogeneratore">#REF!</definedName>
    <definedName name="COMB_2" localSheetId="11">#REF!</definedName>
    <definedName name="COMB_2">#REF!</definedName>
    <definedName name="COMB_3">#REF!</definedName>
    <definedName name="comp_1">#REF!</definedName>
    <definedName name="comp_2">#REF!</definedName>
    <definedName name="comp_trim_1">#REF!</definedName>
    <definedName name="comp_trim_2">#REF!</definedName>
    <definedName name="COMPOST" localSheetId="11">OFFSET(#REF!,1,,COUNT(#REF!)-1,)</definedName>
    <definedName name="COMPOST">OFFSET(#REF!,1,,COUNT(#REF!)-1,)</definedName>
    <definedName name="COMPOST€">OFFSET(#REF!,1,,COUNT(#REF!)-1,)</definedName>
    <definedName name="Conchp1">#REF!</definedName>
    <definedName name="Conchp2">#REF!</definedName>
    <definedName name="Conchp3">#REF!</definedName>
    <definedName name="Conchp4">#REF!</definedName>
    <definedName name="CONS0607" localSheetId="11">IF(#REF!&lt;&gt;"",MIN(#REF!,Rata_da_usare-#REF!),"")</definedName>
    <definedName name="CONS0607">IF(#REF!&lt;&gt;"",MIN(#REF!,Rata_da_usare-#REF!),"")</definedName>
    <definedName name="CONS0607_1" localSheetId="11">IF(#REF!&lt;&gt;"",MIN(#REF!,[0]!Rata_da_usare-#REF!),"")</definedName>
    <definedName name="CONS0607_1">IF(#REF!&lt;&gt;"",MIN(#REF!,[0]!Rata_da_usare-#REF!),"")</definedName>
    <definedName name="ConsMensola" localSheetId="11">#REF!</definedName>
    <definedName name="ConsMensola">#REF!</definedName>
    <definedName name="consumi">#REF!</definedName>
    <definedName name="contractprice">#REF!</definedName>
    <definedName name="contrat">#REF!</definedName>
    <definedName name="conv_mmbtu">#REF!</definedName>
    <definedName name="CORPO">#REF!</definedName>
    <definedName name="CORRISP_LED">#REF!</definedName>
    <definedName name="Costi_totali">#REF!</definedName>
    <definedName name="COSTIMND_1">#REF!</definedName>
    <definedName name="COSTIMND_2">#REF!</definedName>
    <definedName name="COSTIMND_5">#REF!</definedName>
    <definedName name="Costo_EE">#REF!</definedName>
    <definedName name="costo_gasolio">#REF!</definedName>
    <definedName name="costo_metano">#REF!</definedName>
    <definedName name="costo_olio">#REF!</definedName>
    <definedName name="_xlnm.Criteria">#REF!</definedName>
    <definedName name="Criteria">#REF!</definedName>
    <definedName name="Criteria1">#REF!</definedName>
    <definedName name="Criteria2">#REF!</definedName>
    <definedName name="Criteria3">#REF!</definedName>
    <definedName name="Criteria4">#REF!</definedName>
    <definedName name="Criteria5">#REF!</definedName>
    <definedName name="Ct">#REF!</definedName>
    <definedName name="CT_16">#N/A</definedName>
    <definedName name="CT_17">#N/A</definedName>
    <definedName name="CT_HENRY_HUB_USDMMBtu">#REF!</definedName>
    <definedName name="CT_NBP">#REF!</definedName>
    <definedName name="CT_NCG">#REF!</definedName>
    <definedName name="CT_PEGN">#REF!</definedName>
    <definedName name="CT_PSV">#REF!</definedName>
    <definedName name="CT_TTF">#REF!</definedName>
    <definedName name="CT_ZGH">#REF!</definedName>
    <definedName name="Currency">#REF!</definedName>
    <definedName name="CV">#REF!</definedName>
    <definedName name="CVI">#REF!</definedName>
    <definedName name="CVT">#REF!</definedName>
    <definedName name="daAMDO">#REF!</definedName>
    <definedName name="DANILO">#REF!</definedName>
    <definedName name="dasd" localSheetId="8">IF(Loan_Amount*Interest_Rate*Loan_Years*Loan_Start&gt;0,1,0)</definedName>
    <definedName name="dasd" localSheetId="11">IF(Loan_Amount*Interest_Rate*Loan_Years*Loan_Start&gt;0,1,0)</definedName>
    <definedName name="dasd" localSheetId="9">IF(Loan_Amount*Interest_Rate*Loan_Years*Loan_Start&gt;0,1,0)</definedName>
    <definedName name="dasd" localSheetId="10">IF(Loan_Amount*Interest_Rate*Loan_Years*Loan_Start&gt;0,1,0)</definedName>
    <definedName name="dasd">IF(Loan_Amount*Interest_Rate*Loan_Years*Loan_Start&gt;0,1,0)</definedName>
    <definedName name="Data" localSheetId="11">#REF!</definedName>
    <definedName name="Data">#REF!</definedName>
    <definedName name="Data.Dump" localSheetId="11" hidden="1">OFFSET(#REF!,1,0)</definedName>
    <definedName name="Data.Dump" hidden="1">OFFSET(#REF!,1,0)</definedName>
    <definedName name="Data_1rata" localSheetId="11">#REF!</definedName>
    <definedName name="Data_1rata">#REF!</definedName>
    <definedName name="data_consegna" localSheetId="11">#REF!</definedName>
    <definedName name="data_consegna">#REF!</definedName>
    <definedName name="Data_pagamento" localSheetId="8">DATE(YEAR([0]!Inizio_prestito),MONTH([0]!Inizio_prestito)+Payment_Number,DAY([0]!Inizio_prestito))</definedName>
    <definedName name="Data_pagamento" localSheetId="11">DATE(YEAR('QUADRO ECONOMICO'!Inizio_prestito),MONTH('QUADRO ECONOMICO'!Inizio_prestito)+Payment_Number,DAY('QUADRO ECONOMICO'!Inizio_prestito))</definedName>
    <definedName name="Data_pagamento" localSheetId="9">DATE(YEAR([0]!Inizio_prestito),MONTH([0]!Inizio_prestito)+Payment_Number,DAY([0]!Inizio_prestito))</definedName>
    <definedName name="Data_pagamento" localSheetId="10">DATE(YEAR([0]!Inizio_prestito),MONTH([0]!Inizio_prestito)+Payment_Number,DAY([0]!Inizio_prestito))</definedName>
    <definedName name="Data_pagamento">DATE(YEAR(Inizio_prestito),MONTH(Inizio_prestito)+Payment_Number,DAY(Inizio_prestito))</definedName>
    <definedName name="_xlnm.Database" localSheetId="11">#REF!</definedName>
    <definedName name="_xlnm.Database">#REF!</definedName>
    <definedName name="Database.File" localSheetId="11" hidden="1">#REF!</definedName>
    <definedName name="Database.File" hidden="1">#REF!</definedName>
    <definedName name="Databaserev01" localSheetId="11">#REF!</definedName>
    <definedName name="Databaserev01">#REF!</definedName>
    <definedName name="DatabaseSelv">#REF!</definedName>
    <definedName name="Datainizio" localSheetId="11">#REF!</definedName>
    <definedName name="Datainizio">#REF!</definedName>
    <definedName name="Date" localSheetId="11">#REF!</definedName>
    <definedName name="Date">#REF!</definedName>
    <definedName name="datiunici" localSheetId="11">#REF!</definedName>
    <definedName name="datiunici">#REF!</definedName>
    <definedName name="Days_delay" localSheetId="11">OFFSET(#REF!,0,0,#REF!,1)</definedName>
    <definedName name="Days_delay">OFFSET(#REF!,0,0,#REF!,1)</definedName>
    <definedName name="Days_in_year">#REF!</definedName>
    <definedName name="DB_Ind_ene_SA">#REF!</definedName>
    <definedName name="DB_rel_SA">#REF!</definedName>
    <definedName name="DB_Sch_edificio">#REF!</definedName>
    <definedName name="DBDIM">#REF!</definedName>
    <definedName name="DBPDR">#REF!</definedName>
    <definedName name="DBRAL">#REF!</definedName>
    <definedName name="DBSA">#REF!</definedName>
    <definedName name="DBSR">#REF!</definedName>
    <definedName name="DCF_Vercelli_INVESTIMENTO_Elenca">#N/A</definedName>
    <definedName name="DD_Model_Per_Type">#REF!</definedName>
    <definedName name="ddd" localSheetId="11">IF(#REF!&lt;&gt;"",#REF!*'QUADRO ECONOMICO'!Tasso_periodico,"")</definedName>
    <definedName name="ddd">IF(#REF!&lt;&gt;"",#REF!*Tasso_periodico,"")</definedName>
    <definedName name="DDDDDD" localSheetId="11" hidden="1">{"français",#N/A,FALSE,"Intro";"français",#N/A,FALSE,"Index";#N/A,#N/A,FALSE,"3-Incor";#N/A,#N/A,FALSE,"4-Corpo"}</definedName>
    <definedName name="DDDDDD" hidden="1">{"français",#N/A,FALSE,"Intro";"français",#N/A,FALSE,"Index";#N/A,#N/A,FALSE,"3-Incor";#N/A,#N/A,FALSE,"4-Corpo"}</definedName>
    <definedName name="dddddddddddd" localSheetId="11">IF(#REF!&lt;&gt;"",MIN(#REF!,Rata_da_usare-#REF!),"")</definedName>
    <definedName name="dddddddddddd">IF(#REF!&lt;&gt;"",MIN(#REF!,Rata_da_usare-#REF!),"")</definedName>
    <definedName name="debfwd" localSheetId="11">#REF!</definedName>
    <definedName name="debfwd">#REF!</definedName>
    <definedName name="Decimo_Ritardo_Closed" localSheetId="11">OFFSET(#REF!,0,#REF!,1,#REF!)</definedName>
    <definedName name="Decimo_Ritardo_Closed">OFFSET(#REF!,0,#REF!,1,#REF!)</definedName>
    <definedName name="Delay_overdue">OFFSET(#REF!,0,0,#REF!,1)</definedName>
    <definedName name="Delay_receipt">OFFSET(#REF!,0,0,#REF!,1)</definedName>
    <definedName name="Delay_Trend">OFFSET(#REF!,0,0,#REF!,1)</definedName>
    <definedName name="demi_vie_3_plus_infini">#REF!</definedName>
    <definedName name="depreciation">20</definedName>
    <definedName name="DETT1999" localSheetId="11">#REF!</definedName>
    <definedName name="DETT1999">#REF!</definedName>
    <definedName name="DETT20" localSheetId="11">#REF!</definedName>
    <definedName name="DETT20">#REF!</definedName>
    <definedName name="DETT2000" localSheetId="11">#REF!</definedName>
    <definedName name="DETT2000">#REF!</definedName>
    <definedName name="DETT2001">#REF!</definedName>
    <definedName name="DETT96">#REF!</definedName>
    <definedName name="DETT98">#REF!</definedName>
    <definedName name="DETT99">#REF!</definedName>
    <definedName name="Dextrose">#REF!</definedName>
    <definedName name="DFFF" localSheetId="11" hidden="1">{"français",#N/A,FALSE,"Intro";"français",#N/A,FALSE,"Index";#N/A,#N/A,FALSE,"3-Incor";#N/A,#N/A,FALSE,"4-Corpo"}</definedName>
    <definedName name="DFFF" hidden="1">{"français",#N/A,FALSE,"Intro";"français",#N/A,FALSE,"Index";#N/A,#N/A,FALSE,"3-Incor";#N/A,#N/A,FALSE,"4-Corpo"}</definedName>
    <definedName name="dic_1">#REF!</definedName>
    <definedName name="Direct1" localSheetId="14">#REF!</definedName>
    <definedName name="Direct1" localSheetId="13">#REF!</definedName>
    <definedName name="Direct1">#REF!</definedName>
    <definedName name="Direct2" localSheetId="14">#REF!</definedName>
    <definedName name="Direct2" localSheetId="13">#REF!</definedName>
    <definedName name="Direct2">#REF!</definedName>
    <definedName name="DISCARICA" localSheetId="11">OFFSET(#REF!,1,,COUNT(#REF!)-1,)</definedName>
    <definedName name="DISCARICA">OFFSET(#REF!,1,,COUNT(#REF!)-1,)</definedName>
    <definedName name="DISCARICA€">OFFSET(#REF!,1,,COUNT(#REF!)-1,)</definedName>
    <definedName name="Disponibilità_TG">#REF!</definedName>
    <definedName name="Disposizione" localSheetId="11">#REF!</definedName>
    <definedName name="Disposizione">#REF!</definedName>
    <definedName name="Distributore" localSheetId="11">#REF!</definedName>
    <definedName name="Distributore">#REF!</definedName>
    <definedName name="DISTURBO" localSheetId="11">#REF!</definedName>
    <definedName name="DISTURBO">#REF!</definedName>
    <definedName name="DSCR" localSheetId="11">#REF!</definedName>
    <definedName name="DSCR">#REF!</definedName>
    <definedName name="dsds" localSheetId="11" hidden="1">{"français",#N/A,FALSE,"Intro";"français",#N/A,FALSE,"Index";#N/A,#N/A,FALSE,"3-Incor";#N/A,#N/A,FALSE,"4-Corpo"}</definedName>
    <definedName name="dsds" hidden="1">{"français",#N/A,FALSE,"Intro";"français",#N/A,FALSE,"Index";#N/A,#N/A,FALSE,"3-Incor";#N/A,#N/A,FALSE,"4-Corpo"}</definedName>
    <definedName name="dsf">#REF!</definedName>
    <definedName name="durata">#REF!</definedName>
    <definedName name="Durata_in_anni" localSheetId="11">#REF!</definedName>
    <definedName name="Durata_in_anni">#REF!</definedName>
    <definedName name="duration">#REF!</definedName>
    <definedName name="duree_cv_saison_hh">#REF!</definedName>
    <definedName name="duree_cv_saison_NBP">#REF!</definedName>
    <definedName name="DuréeAmort">#REF!</definedName>
    <definedName name="DuréeFinanct">#REF!</definedName>
    <definedName name="durstd">#REF!</definedName>
    <definedName name="DvListSource1">#REF!</definedName>
    <definedName name="DvListSource2">#REF!</definedName>
    <definedName name="EBCK" localSheetId="11" hidden="1">{"français",#N/A,FALSE,"Intro";"français",#N/A,FALSE,"Index";#N/A,#N/A,FALSE,"3-Incor";#N/A,#N/A,FALSE,"4-Corpo"}</definedName>
    <definedName name="EBCK" hidden="1">{"français",#N/A,FALSE,"Intro";"français",#N/A,FALSE,"Index";#N/A,#N/A,FALSE,"3-Incor";#N/A,#N/A,FALSE,"4-Corpo"}</definedName>
    <definedName name="ECOTER" localSheetId="11" hidden="1">{"français",#N/A,FALSE,"Intro";"français",#N/A,FALSE,"Index";#N/A,#N/A,FALSE,"3-Incor";#N/A,#N/A,FALSE,"4-Corpo"}</definedName>
    <definedName name="ECOTER" hidden="1">{"français",#N/A,FALSE,"Intro";"français",#N/A,FALSE,"Index";#N/A,#N/A,FALSE,"3-Incor";#N/A,#N/A,FALSE,"4-Corpo"}</definedName>
    <definedName name="ecoterv1" localSheetId="11" hidden="1">{"français",#N/A,FALSE,"Intro";"français",#N/A,FALSE,"Index";#N/A,#N/A,FALSE,"3-Incor";#N/A,#N/A,FALSE,"4-Corpo"}</definedName>
    <definedName name="ecoterv1" hidden="1">{"français",#N/A,FALSE,"Intro";"français",#N/A,FALSE,"Index";#N/A,#N/A,FALSE,"3-Incor";#N/A,#N/A,FALSE,"4-Corpo"}</definedName>
    <definedName name="edifici">#REF!</definedName>
    <definedName name="edificio">#REF!</definedName>
    <definedName name="EEEEEEE" localSheetId="11" hidden="1">{"français",#N/A,FALSE,"Intro";"français",#N/A,FALSE,"Index";#N/A,#N/A,FALSE,"3-Incor";#N/A,#N/A,FALSE,"4-Corpo"}</definedName>
    <definedName name="EEEEEEE" hidden="1">{"français",#N/A,FALSE,"Intro";"français",#N/A,FALSE,"Index";#N/A,#N/A,FALSE,"3-Incor";#N/A,#N/A,FALSE,"4-Corpo"}</definedName>
    <definedName name="eeeeeeeeeeeeeee" localSheetId="11" hidden="1">{#N/A,#N/A,FALSE,"Aging Summary";#N/A,#N/A,FALSE,"Ratio Analysis";#N/A,#N/A,FALSE,"Test 120 Day Accts";#N/A,#N/A,FALSE,"Tickmarks"}</definedName>
    <definedName name="eeeeeeeeeeeeeee" hidden="1">{#N/A,#N/A,FALSE,"Aging Summary";#N/A,#N/A,FALSE,"Ratio Analysis";#N/A,#N/A,FALSE,"Test 120 Day Accts";#N/A,#N/A,FALSE,"Tickmarks"}</definedName>
    <definedName name="EEEEEEEOOO" localSheetId="11" hidden="1">{"français",#N/A,FALSE,"Intro";"français",#N/A,FALSE,"Index";#N/A,#N/A,FALSE,"3-Incor";#N/A,#N/A,FALSE,"4-Corpo"}</definedName>
    <definedName name="EEEEEEEOOO" hidden="1">{"français",#N/A,FALSE,"Intro";"français",#N/A,FALSE,"Index";#N/A,#N/A,FALSE,"3-Incor";#N/A,#N/A,FALSE,"4-Corpo"}</definedName>
    <definedName name="efficio">#REF!</definedName>
    <definedName name="ELENCOPREZZI">#REF!</definedName>
    <definedName name="energ_pot_1sem2002" localSheetId="11" hidden="1">{"'UR21 1 semestre'!$A$9:$T$9"}</definedName>
    <definedName name="energ_pot_1sem2002" hidden="1">{"'UR21 1 semestre'!$A$9:$T$9"}</definedName>
    <definedName name="Entalpiavapore">#REF!</definedName>
    <definedName name="Entity">#REF!</definedName>
    <definedName name="entityShort">#REF!</definedName>
    <definedName name="ENTVAP">#REF!</definedName>
    <definedName name="EPMWorkbookOptions_1" hidden="1">"czEAAB|LCAAAAAAABADtvQdgHEmWJSYvbcp7f0r1StfgdKEIgGATJNiQQBDswYjN5pLsHWlHIymrKoHKZVZlXWYWQMztnbz33nvvvffee||997o7nU4n99//P1xmZAFs9s5K2smeIYCqyB8/fnwfPyIe/x7vFmV6mddNUS0/|2h3vPNRmi|n1axYXnz20bo939799KPf4|g3Th5/t6rfTqrq7Zerlpo2Kb23bB69a4rPPpq37erR3btXV1fjq3v"</definedName>
    <definedName name="EPMWorkbookOptions_2" hidden="1">"jqr64u7ezs3v39/7i|evpPF9k28WyabPlNP/IvjW7|a2PqNc0fXxSLZf5FH2|qU7WdZ0v258s8iv|Mvj6adZm|il9/iJb5NKb7anNF6t1XXBXXzV5/bLOz3OCN83HhNBHR7//s5df/P5PXp68|O7uzu//PX1pcrWqq9k4my3HxbKts0cHuzuf3m2y1d3Janr3|7//937q9Nunr45PvnzxGn98cfz8|Zcnr9|8|or|Os/KJv/|47vAxWF2vFqVxT"</definedName>
    <definedName name="EPMWorkbookOptions_3" hidden="1">"TzqHhrDA2MEIr3sQ78yMOj070QzdExvTv41beL2SxfPi0W|bJhZIebOkSboA21ej2vriyMk6qs6qO2XueP70a|2PQqjyLyZm90|iIxRpu/a59ll1VdtIQXz4a83PvuFu8/K|qm9RCIf98BZLEcJtBtW/ntvloWv2id88iPT06|/OrFm8d3Y19ugiEUJ/G|v7N772DXAxCbC373y3qW10c7j|/KL1HozarMrl/W1Sqv2|ujLH84efhw/|H2bDK5t"</definedName>
    <definedName name="EPMWorkbookOptions_4" hidden="1">"71/f/dge3L|INvOPp3dmzy8d39v73yGnsO3IoCfZ037Oi9J0vPZF/liQgor0ixkymgDaiLve2T6nhLx||PvvTx|dfrizbd36deTs588e372|s3ZyTHJcO|lAeDfLvI6q6fza9c0JSX5aFmUn30E7vmoI0beu5EpvN27j|/eNOxviC579Ours5Pnx69fnz0jwrz5EWl8ltn7ETU8auz|f50aj|/eRu14mvNnTcuTpJ1|/uWr3|frq/mdnf2DnZ3b"</definedName>
    <definedName name="EPMWorkbookOptions_5" hidden="1">"a/nd//9peUNEYk363/HJm6|On/9/nUW/GVq8Pvviq|fHP3X25YvTHwlt0OxWrQaElvTg2ZuvL7L37t2/v7|/f3uR3XsPkd29/|n983xyvn3/09n|9v7e|cPtg/t5vr2T5Xv7s8mD/QeTe/8vEFkhYeh//CT5ZMfpj7yzKHEe7Ozu/Igejh67ew9|RA|PHvd/xB89efn9OV3z/3Gi/L/H7J29eHP66uTLr233Pn2wu3Nw8OD2du/e///sntIwjKc"</definedName>
    <definedName name="EPMWorkbookOptions_6" hidden="1">"opfcjLvWb3arVAJe|evnm5KtXRNuTr||hUVD16af37r1HVLX//z9W9QgpwcTpV69|xKZ|s1u1GmDT1ydfvjz9|gz63snd|///Y1Amoca5v/8LCnH/v86d3wAhPv/9v/357t6nP6KEUOJHdAAdTn5EB|WH/Xv/X6fEbS3YrWzTB1mwN2df/DAN2KfvYcD|P5K3BgU760w7u/fHOz9v1XeUIPvj3Z|3y29DHHL/RwQJCfL/eb3|TRJk59Pxmy/f/H"</definedName>
    <definedName name="EPMWorkbookOptions_7" hidden="1">"9/Dez/Pbbup54evzl|/eVXr05|mCbvwXuYvP|PxGweIf9/lwP7xmly9uLlV2/|v06V/xcJsawT/P7Eal|e/BDF|OD/h2Lsk/L/d4L8/x6W/eL0|PVXr05f/xC59eH//7jVUFESAb/Pm6c/YtD3aRRgE2/0|O7xalUW06wlOPbz4FPTnKBVyyUhTp89zdqMP/Y/fFN1B//4VX5e5838y|WXq3x5dJ6VTf74bvghtzsp86wG0C|Xr7PL3LTsfsxtv"</definedName>
    <definedName name="EPMWorkbookOptions_8" hidden="1">"1vVbydV9ZbYsmUymtb9L8L2VzOeNdfwy5WM7/8BTBH9sXMxAAA="</definedName>
    <definedName name="esteso">#REF!</definedName>
    <definedName name="_xlnm.Extract">#REF!</definedName>
    <definedName name="EtàCorIll" localSheetId="11">#REF!</definedName>
    <definedName name="EtàCorIll">#REF!</definedName>
    <definedName name="Etichetta_Outstanding" localSheetId="11">OFFSET(#REF!,0,#REF!-1,1,#REF!),#REF!</definedName>
    <definedName name="Etichetta_Outstanding">OFFSET(#REF!,0,#REF!-1,1,#REF!),#REF!</definedName>
    <definedName name="Etichetta_Qtr">OFFSET(#REF!,0,#REF!-1,1,#REF!)</definedName>
    <definedName name="EV__CVPARAMS__" hidden="1">"Params!$B$2:$C$16;"</definedName>
    <definedName name="EV__EXPOPTIONS__" hidden="1">0</definedName>
    <definedName name="EV__LASTREFTIME__" hidden="1">40830.4372569444</definedName>
    <definedName name="EV__MAXEXPCOLS__" hidden="1">100</definedName>
    <definedName name="EV__MAXEXPROWS__" hidden="1">1000</definedName>
    <definedName name="EV__MEMORYCVW__" hidden="1">0</definedName>
    <definedName name="EV__WBEVMODE__" hidden="1">0</definedName>
    <definedName name="EV__WBREFOPTIONS__" hidden="1">134217735</definedName>
    <definedName name="EV__WBVERSION__" hidden="1">0</definedName>
    <definedName name="Excel_BuiltIn__FilterDatabase_1">#REF!</definedName>
    <definedName name="Excel_BuiltIn_Print_Area">#REF!</definedName>
    <definedName name="Excel_BuiltIn_Print_Area_1">0</definedName>
    <definedName name="Excel_BuiltIn_Print_Area_1_1">0</definedName>
    <definedName name="Excel_BuiltIn_Print_Area_10">0</definedName>
    <definedName name="Excel_BuiltIn_Print_Area_10_1">0</definedName>
    <definedName name="Excel_BuiltIn_Print_Area_11">0</definedName>
    <definedName name="Excel_BuiltIn_Print_Area_11_1">0</definedName>
    <definedName name="Excel_BuiltIn_Print_Area_12">0</definedName>
    <definedName name="Excel_BuiltIn_Print_Area_12_1">0</definedName>
    <definedName name="Excel_BuiltIn_Print_Area_13">0</definedName>
    <definedName name="Excel_BuiltIn_Print_Area_13_1">0</definedName>
    <definedName name="Excel_BuiltIn_Print_Area_14">0</definedName>
    <definedName name="Excel_BuiltIn_Print_Area_14_1">0</definedName>
    <definedName name="Excel_BuiltIn_Print_Area_15">0</definedName>
    <definedName name="Excel_BuiltIn_Print_Area_15_1">0</definedName>
    <definedName name="Excel_BuiltIn_Print_Area_16">0</definedName>
    <definedName name="Excel_BuiltIn_Print_Area_16_1">0</definedName>
    <definedName name="Excel_BuiltIn_Print_Area_17">0</definedName>
    <definedName name="Excel_BuiltIn_Print_Area_17_1">0</definedName>
    <definedName name="Excel_BuiltIn_Print_Area_18">0</definedName>
    <definedName name="Excel_BuiltIn_Print_Area_18_1">0</definedName>
    <definedName name="Excel_BuiltIn_Print_Area_19">0</definedName>
    <definedName name="Excel_BuiltIn_Print_Area_19_1">0</definedName>
    <definedName name="Excel_BuiltIn_Print_Area_2">0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2_1_3">#REF!</definedName>
    <definedName name="Excel_BuiltIn_Print_Area_20">0</definedName>
    <definedName name="Excel_BuiltIn_Print_Area_20_1">0</definedName>
    <definedName name="Excel_BuiltIn_Print_Area_21">0</definedName>
    <definedName name="Excel_BuiltIn_Print_Area_21_1">0</definedName>
    <definedName name="Excel_BuiltIn_Print_Area_22">0</definedName>
    <definedName name="Excel_BuiltIn_Print_Area_22_1">0</definedName>
    <definedName name="Excel_BuiltIn_Print_Area_23">0</definedName>
    <definedName name="Excel_BuiltIn_Print_Area_23_1">0</definedName>
    <definedName name="Excel_BuiltIn_Print_Area_24">0</definedName>
    <definedName name="Excel_BuiltIn_Print_Area_24_1">0</definedName>
    <definedName name="Excel_BuiltIn_Print_Area_25">0</definedName>
    <definedName name="Excel_BuiltIn_Print_Area_25_1">0</definedName>
    <definedName name="Excel_BuiltIn_Print_Area_26">0</definedName>
    <definedName name="Excel_BuiltIn_Print_Area_26_1">0</definedName>
    <definedName name="Excel_BuiltIn_Print_Area_27">0</definedName>
    <definedName name="Excel_BuiltIn_Print_Area_27_1">0</definedName>
    <definedName name="Excel_BuiltIn_Print_Area_28">0</definedName>
    <definedName name="Excel_BuiltIn_Print_Area_28_1">0</definedName>
    <definedName name="Excel_BuiltIn_Print_Area_29">0</definedName>
    <definedName name="Excel_BuiltIn_Print_Area_29_1">0</definedName>
    <definedName name="Excel_BuiltIn_Print_Area_3">0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3_1_3">#REF!</definedName>
    <definedName name="Excel_BuiltIn_Print_Area_30">0</definedName>
    <definedName name="Excel_BuiltIn_Print_Area_30_1">0</definedName>
    <definedName name="Excel_BuiltIn_Print_Area_31">0</definedName>
    <definedName name="Excel_BuiltIn_Print_Area_31_1">0</definedName>
    <definedName name="Excel_BuiltIn_Print_Area_32">0</definedName>
    <definedName name="Excel_BuiltIn_Print_Area_32_1">0</definedName>
    <definedName name="Excel_BuiltIn_Print_Area_33">0</definedName>
    <definedName name="Excel_BuiltIn_Print_Area_33_1">0</definedName>
    <definedName name="Excel_BuiltIn_Print_Area_34">0</definedName>
    <definedName name="Excel_BuiltIn_Print_Area_34_1">0</definedName>
    <definedName name="Excel_BuiltIn_Print_Area_35">0</definedName>
    <definedName name="Excel_BuiltIn_Print_Area_35_1">0</definedName>
    <definedName name="Excel_BuiltIn_Print_Area_36">0</definedName>
    <definedName name="Excel_BuiltIn_Print_Area_36_1">0</definedName>
    <definedName name="Excel_BuiltIn_Print_Area_37">0</definedName>
    <definedName name="Excel_BuiltIn_Print_Area_37_1">0</definedName>
    <definedName name="Excel_BuiltIn_Print_Area_38">0</definedName>
    <definedName name="Excel_BuiltIn_Print_Area_38_1">0</definedName>
    <definedName name="Excel_BuiltIn_Print_Area_39">0</definedName>
    <definedName name="Excel_BuiltIn_Print_Area_39_1">0</definedName>
    <definedName name="Excel_BuiltIn_Print_Area_4">0</definedName>
    <definedName name="Excel_BuiltIn_Print_Area_4_1">#REF!</definedName>
    <definedName name="Excel_BuiltIn_Print_Area_40">0</definedName>
    <definedName name="Excel_BuiltIn_Print_Area_40_1">0</definedName>
    <definedName name="Excel_BuiltIn_Print_Area_41">0</definedName>
    <definedName name="Excel_BuiltIn_Print_Area_41_1">0</definedName>
    <definedName name="Excel_BuiltIn_Print_Area_5">#REF!</definedName>
    <definedName name="Excel_BuiltIn_Print_Area_5_1">#REF!</definedName>
    <definedName name="Excel_BuiltIn_Print_Area_6">0</definedName>
    <definedName name="Excel_BuiltIn_Print_Area_6_1">0</definedName>
    <definedName name="Excel_BuiltIn_Print_Area_7">0</definedName>
    <definedName name="Excel_BuiltIn_Print_Area_7_1">0</definedName>
    <definedName name="Excel_BuiltIn_Print_Area_8">0</definedName>
    <definedName name="Excel_BuiltIn_Print_Area_8_1">0</definedName>
    <definedName name="Excel_BuiltIn_Print_Area_9">0</definedName>
    <definedName name="Excel_BuiltIn_Print_Area_9_1">0</definedName>
    <definedName name="Excel_BuiltIn_Print_Titles_1">#REF!</definedName>
    <definedName name="Excel_BuiltIn_Print_Titles_2_1">#REF!</definedName>
    <definedName name="Excel_BuiltIn_Print_Titles_2_1_3">#REF!</definedName>
    <definedName name="Excel_BuiltIn_Print_Titles_3_1">#REF!</definedName>
    <definedName name="Excel_BuiltIn_Print_Titles_3_1_1">#REF!</definedName>
    <definedName name="Excel_BuiltIn_Print_Titles_4_1">#REF!</definedName>
    <definedName name="Excel_BuiltIn_Print_Titles_4_1_1">#REF!</definedName>
    <definedName name="Excel_BuiltIn_Print_Titles_5">#REF!</definedName>
    <definedName name="Excel_BuiltIn_Print_Titles_5_1">#REF!</definedName>
    <definedName name="Excel_BuiltIn_Print_Titles_5_1_1">#REF!</definedName>
    <definedName name="exchange">#REF!</definedName>
    <definedName name="Extract" localSheetId="11">#REF!</definedName>
    <definedName name="Extract">#REF!</definedName>
    <definedName name="Extract1" localSheetId="11">#REF!</definedName>
    <definedName name="Extract1">#REF!</definedName>
    <definedName name="Extract2" localSheetId="11">#REF!</definedName>
    <definedName name="Extract2">#REF!</definedName>
    <definedName name="Extract3" localSheetId="11">#REF!</definedName>
    <definedName name="Extract3">#REF!</definedName>
    <definedName name="Extract4">#REF!</definedName>
    <definedName name="f_E">#N/A</definedName>
    <definedName name="F1_energia">#N/A</definedName>
    <definedName name="F2_energia">#N/A</definedName>
    <definedName name="F3_energia">#N/A</definedName>
    <definedName name="F4_energia">#N/A</definedName>
    <definedName name="FASCIA1">#REF!</definedName>
    <definedName name="FASCIA2">#REF!</definedName>
    <definedName name="FASCIA3">#REF!</definedName>
    <definedName name="FASCIA4">#REF!</definedName>
    <definedName name="FASCIA5">#REF!</definedName>
    <definedName name="FASCIA6">#REF!</definedName>
    <definedName name="FASCIA7">#REF!</definedName>
    <definedName name="Fasi">#REF!</definedName>
    <definedName name="fat_L">#REF!</definedName>
    <definedName name="fatt">#REF!</definedName>
    <definedName name="fatt_e">#REF!</definedName>
    <definedName name="FFFFF" localSheetId="11" hidden="1">{"français",#N/A,FALSE,"Intro";"français",#N/A,FALSE,"Index";#N/A,#N/A,FALSE,"3-Incor";#N/A,#N/A,FALSE,"4-Corpo"}</definedName>
    <definedName name="FFFFF" hidden="1">{"français",#N/A,FALSE,"Intro";"français",#N/A,FALSE,"Index";#N/A,#N/A,FALSE,"3-Incor";#N/A,#N/A,FALSE,"4-Corpo"}</definedName>
    <definedName name="FFFFFFF" localSheetId="11" hidden="1">{"français",#N/A,FALSE,"Intro";"français",#N/A,FALSE,"Index";#N/A,#N/A,FALSE,"3-Incor";#N/A,#N/A,FALSE,"4-Corpo"}</definedName>
    <definedName name="FFFFFFF" hidden="1">{"français",#N/A,FALSE,"Intro";"français",#N/A,FALSE,"Index";#N/A,#N/A,FALSE,"3-Incor";#N/A,#N/A,FALSE,"4-Corpo"}</definedName>
    <definedName name="ffffffffffffffffffff" hidden="1">#REF!</definedName>
    <definedName name="ffffffffffffffffffffffff">#REF!</definedName>
    <definedName name="ffffffffffffffffffffffffffffffffffffff">#REF!</definedName>
    <definedName name="File.Type" hidden="1">#REF!</definedName>
    <definedName name="fin_forwards">#REF!</definedName>
    <definedName name="finfwd">#REF!</definedName>
    <definedName name="finfwd_marchés">#REF!</definedName>
    <definedName name="Finitura">#REF!</definedName>
    <definedName name="FondsPropres">#REF!</definedName>
    <definedName name="Fornitore" localSheetId="11">#REF!</definedName>
    <definedName name="Fornitore">#REF!</definedName>
    <definedName name="From" localSheetId="11">#REF!</definedName>
    <definedName name="From">#REF!</definedName>
    <definedName name="fsdf" localSheetId="8">IF(Loan_Amount*Interest_Rate*Loan_Years*Loan_Start&gt;0,1,0)</definedName>
    <definedName name="fsdf" localSheetId="11">IF(Loan_Amount*Interest_Rate*Loan_Years*Loan_Start&gt;0,1,0)</definedName>
    <definedName name="fsdf" localSheetId="9">IF(Loan_Amount*Interest_Rate*Loan_Years*Loan_Start&gt;0,1,0)</definedName>
    <definedName name="fsdf" localSheetId="10">IF(Loan_Amount*Interest_Rate*Loan_Years*Loan_Start&gt;0,1,0)</definedName>
    <definedName name="fsdf">IF(Loan_Amount*Interest_Rate*Loan_Years*Loan_Start&gt;0,1,0)</definedName>
    <definedName name="FSDFSDF" localSheetId="11" hidden="1">{"français",#N/A,FALSE,"Intro";"français",#N/A,FALSE,"Index";#N/A,#N/A,FALSE,"3-Incor";#N/A,#N/A,FALSE,"4-Corpo"}</definedName>
    <definedName name="FSDFSDF" hidden="1">{"français",#N/A,FALSE,"Intro";"français",#N/A,FALSE,"Index";#N/A,#N/A,FALSE,"3-Incor";#N/A,#N/A,FALSE,"4-Corpo"}</definedName>
    <definedName name="Fuel1" localSheetId="14">#REF!</definedName>
    <definedName name="Fuel1" localSheetId="13">#REF!</definedName>
    <definedName name="Fuel1">#REF!</definedName>
    <definedName name="Fuel2" localSheetId="14">#REF!</definedName>
    <definedName name="Fuel2" localSheetId="13">#REF!</definedName>
    <definedName name="Fuel2">#REF!</definedName>
    <definedName name="Fuels" localSheetId="14">#REF!</definedName>
    <definedName name="Fuels" localSheetId="13">#REF!</definedName>
    <definedName name="Fuels">#REF!</definedName>
    <definedName name="Funz" localSheetId="11">#REF!</definedName>
    <definedName name="Funz">#REF!</definedName>
    <definedName name="Funz_Mancante" localSheetId="11">#REF!</definedName>
    <definedName name="Funz_Mancante">#REF!</definedName>
    <definedName name="Funz_SEM" localSheetId="11">#REF!</definedName>
    <definedName name="Funz_SEM">#REF!</definedName>
    <definedName name="Funz_SEM_Mancante">#REF!</definedName>
    <definedName name="Fuochi">#REF!</definedName>
    <definedName name="gasolio">#REF!</definedName>
    <definedName name="gen_1">#REF!</definedName>
    <definedName name="GenAdm" localSheetId="14">#REF!</definedName>
    <definedName name="GenAdm" localSheetId="13">#REF!</definedName>
    <definedName name="GenAdm">#REF!</definedName>
    <definedName name="Generatore_Calore" localSheetId="11">#REF!</definedName>
    <definedName name="Generatore_Calore">#REF!</definedName>
    <definedName name="GGGGG" localSheetId="11" hidden="1">{"français",#N/A,FALSE,"Intro";"français",#N/A,FALSE,"Index";#N/A,#N/A,FALSE,"3-Incor";#N/A,#N/A,FALSE,"4-Corpo"}</definedName>
    <definedName name="GGGGG" hidden="1">{"français",#N/A,FALSE,"Intro";"français",#N/A,FALSE,"Index";#N/A,#N/A,FALSE,"3-Incor";#N/A,#N/A,FALSE,"4-Corpo"}</definedName>
    <definedName name="gggggggggggggggg">#REF!</definedName>
    <definedName name="gggggggggggggggggg">#REF!</definedName>
    <definedName name="GHJJJ" localSheetId="11" hidden="1">{"français",#N/A,FALSE,"Intro";"français",#N/A,FALSE,"Index";#N/A,#N/A,FALSE,"3-Incor";#N/A,#N/A,FALSE,"4-Corpo"}</definedName>
    <definedName name="GHJJJ" hidden="1">{"français",#N/A,FALSE,"Intro";"français",#N/A,FALSE,"Index";#N/A,#N/A,FALSE,"3-Incor";#N/A,#N/A,FALSE,"4-Corpo"}</definedName>
    <definedName name="giu_1">#REF!</definedName>
    <definedName name="giudizio">#REF!</definedName>
    <definedName name="gkgf" localSheetId="11">#REF!</definedName>
    <definedName name="gkgf">#REF!</definedName>
    <definedName name="GRAFO" localSheetId="11">#REF!</definedName>
    <definedName name="GRAFO">#REF!</definedName>
    <definedName name="graph" localSheetId="11">#REF!</definedName>
    <definedName name="graph">#REF!</definedName>
    <definedName name="GrG_equivalenti">#REF!</definedName>
    <definedName name="Gruppodidettaglio" localSheetId="11">#REF!</definedName>
    <definedName name="Gruppodidettaglio">#REF!</definedName>
    <definedName name="GUIDA" localSheetId="11">#REF!</definedName>
    <definedName name="GUIDA">#REF!</definedName>
    <definedName name="h_piano" localSheetId="11">#REF!</definedName>
    <definedName name="h_piano">#REF!</definedName>
    <definedName name="Header_Row">ROW(#REF!)</definedName>
    <definedName name="Header1" hidden="1">IF(COUNTA(#REF!)=0,0,INDEX(#REF!,MATCH(ROW(#REF!),#REF!,TRUE)))+1</definedName>
    <definedName name="Header2" localSheetId="11" hidden="1">[0]!Header1-1 &amp; "." &amp; MAX(1,COUNTA(INDEX(#REF!,MATCH([0]!Header1-1,#REF!,FALSE)):#REF!))</definedName>
    <definedName name="Header2" hidden="1">[0]!Header1-1 &amp; "." &amp; MAX(1,COUNTA(INDEX(#REF!,MATCH([0]!Header1-1,#REF!,FALSE)):#REF!))</definedName>
    <definedName name="hghg" localSheetId="8">IF(Loan_Amount*Interest_Rate*Loan_Years*Loan_Start&gt;0,1,0)</definedName>
    <definedName name="hghg" localSheetId="11">IF(Loan_Amount*Interest_Rate*Loan_Years*Loan_Start&gt;0,1,0)</definedName>
    <definedName name="hghg" localSheetId="9">IF(Loan_Amount*Interest_Rate*Loan_Years*Loan_Start&gt;0,1,0)</definedName>
    <definedName name="hghg" localSheetId="10">IF(Loan_Amount*Interest_Rate*Loan_Years*Loan_Start&gt;0,1,0)</definedName>
    <definedName name="hghg">IF(Loan_Amount*Interest_Rate*Loan_Years*Loan_Start&gt;0,1,0)</definedName>
    <definedName name="hh" localSheetId="11">#REF!</definedName>
    <definedName name="hh">#REF!</definedName>
    <definedName name="hhh" localSheetId="11">#REF!</definedName>
    <definedName name="hhh">#REF!</definedName>
    <definedName name="HHHH" localSheetId="11" hidden="1">{"français",#N/A,FALSE,"Intro";"français",#N/A,FALSE,"Index";#N/A,#N/A,FALSE,"3-Incor";#N/A,#N/A,FALSE,"4-Corpo"}</definedName>
    <definedName name="HHHH" hidden="1">{"français",#N/A,FALSE,"Intro";"français",#N/A,FALSE,"Index";#N/A,#N/A,FALSE,"3-Incor";#N/A,#N/A,FALSE,"4-Corpo"}</definedName>
    <definedName name="hhhhhhh" localSheetId="11">#REF!</definedName>
    <definedName name="hhhhhhh">#REF!</definedName>
    <definedName name="hhhhhhhhhh" localSheetId="11">#REF!</definedName>
    <definedName name="hhhhhhhhhh">#REF!</definedName>
    <definedName name="hhhhhhhhhhhhhhhhhhhhhhhhhhh" localSheetId="11">#REF!</definedName>
    <definedName name="hhhhhhhhhhhhhhhhhhhhhhhhhhh">#REF!</definedName>
    <definedName name="Hi">#REF!</definedName>
    <definedName name="HJKHJK" localSheetId="8">IF(Loan_Amount*Interest_Rate*Loan_Years*Loan_Start&gt;0,1,0)</definedName>
    <definedName name="HJKHJK" localSheetId="11">IF(Loan_Amount*Interest_Rate*Loan_Years*Loan_Start&gt;0,1,0)</definedName>
    <definedName name="HJKHJK" localSheetId="9">IF(Loan_Amount*Interest_Rate*Loan_Years*Loan_Start&gt;0,1,0)</definedName>
    <definedName name="HJKHJK" localSheetId="10">IF(Loan_Amount*Interest_Rate*Loan_Years*Loan_Start&gt;0,1,0)</definedName>
    <definedName name="HJKHJK">IF(Loan_Amount*Interest_Rate*Loan_Years*Loan_Start&gt;0,1,0)</definedName>
    <definedName name="Hours_in_day" localSheetId="11">#REF!</definedName>
    <definedName name="Hours_in_day">#REF!</definedName>
    <definedName name="Hpalo" localSheetId="11">#REF!</definedName>
    <definedName name="Hpalo">#REF!</definedName>
    <definedName name="HTML_CodePage" hidden="1">1252</definedName>
    <definedName name="HTML_Control" localSheetId="11" hidden="1">{"'UR21 1 semestre'!$A$9:$T$9"}</definedName>
    <definedName name="HTML_Control" hidden="1">{"'UR21 1 semestre'!$A$9:$T$9"}</definedName>
    <definedName name="HTML_Description" hidden="1">""</definedName>
    <definedName name="HTML_Email" hidden="1">""</definedName>
    <definedName name="HTML_Header" hidden="1">"Leverage"</definedName>
    <definedName name="HTML_LastUpdate" hidden="1">"8/21/00"</definedName>
    <definedName name="HTML_LineAfter" hidden="1">FALSE</definedName>
    <definedName name="HTML_LineBefore" hidden="1">FALSE</definedName>
    <definedName name="HTML_Name" hidden="1">"Frank Vickers"</definedName>
    <definedName name="HTML_OBDlg2" hidden="1">FALSE</definedName>
    <definedName name="HTML_OBDlg3" hidden="1">FALSE</definedName>
    <definedName name="HTML_OBDlg4" hidden="1">FALSE</definedName>
    <definedName name="HTML_OS" hidden="1">0</definedName>
    <definedName name="HTML_PathFile" hidden="1">"file:///D:/SitoClienti13/SitoClienti12/vendite.htm"</definedName>
    <definedName name="HTML_PathTemplate" hidden="1">"file:///D:/SitoClienti13/SitoClienti12/vendite.htm"</definedName>
    <definedName name="HTML_Title" hidden="1">"leverage"</definedName>
    <definedName name="Id">#REF!</definedName>
    <definedName name="ID_Entity">#REF!</definedName>
    <definedName name="IDR">#REF!</definedName>
    <definedName name="ImpConc" localSheetId="14">#REF!</definedName>
    <definedName name="ImpConc" localSheetId="13">#REF!</definedName>
    <definedName name="ImpConc">#REF!</definedName>
    <definedName name="IMPORTO">#REF!</definedName>
    <definedName name="Importo_prestito">#REF!</definedName>
    <definedName name="In">#REF!</definedName>
    <definedName name="Inclinazione" localSheetId="11">#REF!</definedName>
    <definedName name="Inclinazione">#REF!</definedName>
    <definedName name="Indices">#REF!</definedName>
    <definedName name="Indirect1" localSheetId="14">#REF!</definedName>
    <definedName name="Indirect1" localSheetId="13">#REF!</definedName>
    <definedName name="Indirect1">#REF!</definedName>
    <definedName name="Indirect2" localSheetId="14">#REF!</definedName>
    <definedName name="Indirect2" localSheetId="13">#REF!</definedName>
    <definedName name="Indirect2">#REF!</definedName>
    <definedName name="inflation" localSheetId="11">#REF!</definedName>
    <definedName name="inflation">#REF!</definedName>
    <definedName name="inizio" localSheetId="11">#REF!</definedName>
    <definedName name="inizio">#REF!</definedName>
    <definedName name="Inizio_prestito" localSheetId="11">#REF!</definedName>
    <definedName name="Inizio_prestito">#REF!</definedName>
    <definedName name="Inst_0" localSheetId="11">#REF!</definedName>
    <definedName name="Inst_0">#REF!</definedName>
    <definedName name="Inst_1" localSheetId="11">#REF!</definedName>
    <definedName name="Inst_1">#REF!</definedName>
    <definedName name="Inst_10">#REF!</definedName>
    <definedName name="Inst_11">#REF!</definedName>
    <definedName name="Inst_12">#REF!</definedName>
    <definedName name="INST_1A">#REF!</definedName>
    <definedName name="Inst_2">#REF!</definedName>
    <definedName name="Inst_3">#REF!</definedName>
    <definedName name="Inst_4">#REF!</definedName>
    <definedName name="Inst_5">#REF!</definedName>
    <definedName name="Inst_6">#REF!</definedName>
    <definedName name="Inst_7">#REF!</definedName>
    <definedName name="Inst_8">#REF!</definedName>
    <definedName name="Inst_9">#REF!</definedName>
    <definedName name="Inst_SEM">#REF!</definedName>
    <definedName name="InstTOT">#REF!</definedName>
    <definedName name="INT">#REF!</definedName>
    <definedName name="Interesse.cum" localSheetId="11">IF(#REF!&lt;&gt;"",#REF!+#REF!,"")</definedName>
    <definedName name="Interesse.cum">IF(#REF!&lt;&gt;"",#REF!+#REF!,"")</definedName>
    <definedName name="Interessi" localSheetId="11">IF(#REF!&lt;&gt;"",#REF!*'QUADRO ECONOMICO'!Tasso_periodico,"")</definedName>
    <definedName name="Interessi">IF(#REF!&lt;&gt;"",#REF!*Tasso_periodico,"")</definedName>
    <definedName name="INTERVENTI" localSheetId="11">#REF!</definedName>
    <definedName name="INTERVENTI">#REF!</definedName>
    <definedName name="INV97_00" localSheetId="11">#REF!</definedName>
    <definedName name="INV97_00">#REF!</definedName>
    <definedName name="IP_QUADRO">#REF!</definedName>
    <definedName name="IQ_ACCOUNT_CHANGE" hidden="1">"c1449"</definedName>
    <definedName name="IQ_ACCOUNTING_STANDARD" hidden="1">"c4539"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INDUSTRY_REC" hidden="1">"c4455"</definedName>
    <definedName name="IQ_AVG_INDUSTRY_REC_NO" hidden="1">"c4454"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OUTSTANDING_CURRENT_EST" hidden="1">"c4128"</definedName>
    <definedName name="IQ_BASIC_OUTSTANDING_CURRENT_HIGH_EST" hidden="1">"c4129"</definedName>
    <definedName name="IQ_BASIC_OUTSTANDING_CURRENT_LOW_EST" hidden="1">"c4130"</definedName>
    <definedName name="IQ_BASIC_OUTSTANDING_CURRENT_MEDIAN_EST" hidden="1">"c4131"</definedName>
    <definedName name="IQ_BASIC_OUTSTANDING_CURRENT_NUM_EST" hidden="1">"c4132"</definedName>
    <definedName name="IQ_BASIC_OUTSTANDING_CURRENT_STDDEV_EST" hidden="1">"c4133"</definedName>
    <definedName name="IQ_BASIC_OUTSTANDING_EST" hidden="1">"c4134"</definedName>
    <definedName name="IQ_BASIC_OUTSTANDING_HIGH_EST" hidden="1">"c4135"</definedName>
    <definedName name="IQ_BASIC_OUTSTANDING_LOW_EST" hidden="1">"c4136"</definedName>
    <definedName name="IQ_BASIC_OUTSTANDING_MEDIAN_EST" hidden="1">"c4137"</definedName>
    <definedName name="IQ_BASIC_OUTSTANDING_NUM_EST" hidden="1">"c4138"</definedName>
    <definedName name="IQ_BASIC_OUTSTANDING_STDDEV_EST" hidden="1">"c4139"</definedName>
    <definedName name="IQ_BASIC_WEIGHT" hidden="1">"c87"</definedName>
    <definedName name="IQ_BASIC_WEIGHT_EST" hidden="1">"c4140"</definedName>
    <definedName name="IQ_BASIC_WEIGHT_GUIDANCE" hidden="1">"c4141"</definedName>
    <definedName name="IQ_BASIC_WEIGHT_HIGH_EST" hidden="1">"c4142"</definedName>
    <definedName name="IQ_BASIC_WEIGHT_LOW_EST" hidden="1">"c4143"</definedName>
    <definedName name="IQ_BASIC_WEIGHT_MEDIAN_EST" hidden="1">"c4144"</definedName>
    <definedName name="IQ_BASIC_WEIGHT_NUM_EST" hidden="1">"c4145"</definedName>
    <definedName name="IQ_BASIC_WEIGHT_STDDEV_EST" hidden="1">"c4146"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EST" hidden="1">"c5624"</definedName>
    <definedName name="IQ_BV_HIGH_EST" hidden="1">"c5626"</definedName>
    <definedName name="IQ_BV_LOW_EST" hidden="1">"c5627"</definedName>
    <definedName name="IQ_BV_MEDIAN_EST" hidden="1">"c5625"</definedName>
    <definedName name="IQ_BV_NUM_EST" hidden="1">"c5628"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REUT" hidden="1">"c5477"</definedName>
    <definedName name="IQ_BV_SHARE_EST" hidden="1">"c3541"</definedName>
    <definedName name="IQ_BV_SHARE_EST_REUT" hidden="1">"c5439"</definedName>
    <definedName name="IQ_BV_SHARE_HIGH_EST" hidden="1">"c3542"</definedName>
    <definedName name="IQ_BV_SHARE_HIGH_EST_REUT" hidden="1">"c5441"</definedName>
    <definedName name="IQ_BV_SHARE_LOW_EST" hidden="1">"c3543"</definedName>
    <definedName name="IQ_BV_SHARE_LOW_EST_REUT" hidden="1">"c5442"</definedName>
    <definedName name="IQ_BV_SHARE_MEDIAN_EST" hidden="1">"c3544"</definedName>
    <definedName name="IQ_BV_SHARE_MEDIAN_EST_REUT" hidden="1">"c5440"</definedName>
    <definedName name="IQ_BV_SHARE_NUM_EST" hidden="1">"c3539"</definedName>
    <definedName name="IQ_BV_SHARE_NUM_EST_REUT" hidden="1">"c5443"</definedName>
    <definedName name="IQ_BV_SHARE_STDDEV_EST" hidden="1">"c3540"</definedName>
    <definedName name="IQ_BV_SHARE_STDDEV_EST_REUT" hidden="1">"c5444"</definedName>
    <definedName name="IQ_BV_STDDEV_EST" hidden="1">"c5629"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ACT_OR_EST" hidden="1">"c3584"</definedName>
    <definedName name="IQ_CAPEX_ACT_OR_EST_REUT" hidden="1">"c5474"</definedName>
    <definedName name="IQ_CAPEX_BNK" hidden="1">"c110"</definedName>
    <definedName name="IQ_CAPEX_BR" hidden="1">"c111"</definedName>
    <definedName name="IQ_CAPEX_EST" hidden="1">"c3523"</definedName>
    <definedName name="IQ_CAPEX_EST_REUT" hidden="1">"c3969"</definedName>
    <definedName name="IQ_CAPEX_FIN" hidden="1">"c112"</definedName>
    <definedName name="IQ_CAPEX_GUIDANCE" hidden="1">"c4150"</definedName>
    <definedName name="IQ_CAPEX_HIGH_EST" hidden="1">"c3524"</definedName>
    <definedName name="IQ_CAPEX_HIGH_EST_REUT" hidden="1">"c3971"</definedName>
    <definedName name="IQ_CAPEX_HIGH_GUIDANCE" hidden="1">"c4180"</definedName>
    <definedName name="IQ_CAPEX_INS" hidden="1">"c113"</definedName>
    <definedName name="IQ_CAPEX_LOW_EST" hidden="1">"c3525"</definedName>
    <definedName name="IQ_CAPEX_LOW_EST_REUT" hidden="1">"c3972"</definedName>
    <definedName name="IQ_CAPEX_LOW_GUIDANCE" hidden="1">"c4220"</definedName>
    <definedName name="IQ_CAPEX_MEDIAN_EST" hidden="1">"c3526"</definedName>
    <definedName name="IQ_CAPEX_MEDIAN_EST_REUT" hidden="1">"c3970"</definedName>
    <definedName name="IQ_CAPEX_NUM_EST" hidden="1">"c3521"</definedName>
    <definedName name="IQ_CAPEX_NUM_EST_REUT" hidden="1">"c3973"</definedName>
    <definedName name="IQ_CAPEX_STDDEV_EST" hidden="1">"c3522"</definedName>
    <definedName name="IQ_CAPEX_STDDEV_EST_REUT" hidden="1">"c3974"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"c3460"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PS_ACT_OR_EST" hidden="1">"c5638"</definedName>
    <definedName name="IQ_CASH_EPS_EST" hidden="1">"c5631"</definedName>
    <definedName name="IQ_CASH_EPS_HIGH_EST" hidden="1">"c5633"</definedName>
    <definedName name="IQ_CASH_EPS_LOW_EST" hidden="1">"c5634"</definedName>
    <definedName name="IQ_CASH_EPS_MEDIAN_EST" hidden="1">"c5632"</definedName>
    <definedName name="IQ_CASH_EPS_NUM_EST" hidden="1">"c5635"</definedName>
    <definedName name="IQ_CASH_EPS_STDDEV_EST" hidden="1">"c5636"</definedName>
    <definedName name="IQ_CASH_EQUIV" hidden="1">"c118"</definedName>
    <definedName name="IQ_CASH_FINAN" hidden="1">"c119"</definedName>
    <definedName name="IQ_CASH_FLOW_ACT_OR_EST" hidden="1">"c4154"</definedName>
    <definedName name="IQ_CASH_FLOW_EST" hidden="1">"c4153"</definedName>
    <definedName name="IQ_CASH_FLOW_GUIDANCE" hidden="1">"c4155"</definedName>
    <definedName name="IQ_CASH_FLOW_HIGH_EST" hidden="1">"c4156"</definedName>
    <definedName name="IQ_CASH_FLOW_HIGH_GUIDANCE" hidden="1">"c4201"</definedName>
    <definedName name="IQ_CASH_FLOW_LOW_EST" hidden="1">"c4157"</definedName>
    <definedName name="IQ_CASH_FLOW_LOW_GUIDANCE" hidden="1">"c4241"</definedName>
    <definedName name="IQ_CASH_FLOW_MEDIAN_EST" hidden="1">"c4158"</definedName>
    <definedName name="IQ_CASH_FLOW_NUM_EST" hidden="1">"c4159"</definedName>
    <definedName name="IQ_CASH_FLOW_STDDEV_EST" hidden="1">"c4160"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OPER_EST" hidden="1">"c4163"</definedName>
    <definedName name="IQ_CASH_OPER_GUIDANCE" hidden="1">"c4165"</definedName>
    <definedName name="IQ_CASH_OPER_HIGH_EST" hidden="1">"c4166"</definedName>
    <definedName name="IQ_CASH_OPER_HIGH_GUIDANCE" hidden="1">"c4185"</definedName>
    <definedName name="IQ_CASH_OPER_LOW_EST" hidden="1">"c4244"</definedName>
    <definedName name="IQ_CASH_OPER_LOW_GUIDANCE" hidden="1">"c4225"</definedName>
    <definedName name="IQ_CASH_OPER_MEDIAN_EST" hidden="1">"c4245"</definedName>
    <definedName name="IQ_CASH_OPER_NUM_EST" hidden="1">"c4246"</definedName>
    <definedName name="IQ_CASH_OPER_STDDEV_EST" hidden="1">"c4247"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GUIDANCE" hidden="1">"c4250"</definedName>
    <definedName name="IQ_CASH_ST_INVEST_HIGH_EST" hidden="1">"c4251"</definedName>
    <definedName name="IQ_CASH_ST_INVEST_HIGH_GUIDANCE" hidden="1">"c4195"</definedName>
    <definedName name="IQ_CASH_ST_INVEST_LOW_EST" hidden="1">"c4252"</definedName>
    <definedName name="IQ_CASH_ST_INVEST_LOW_GUIDANCE" hidden="1">"c4235"</definedName>
    <definedName name="IQ_CASH_ST_INVEST_MEDIAN_EST" hidden="1">"c4253"</definedName>
    <definedName name="IQ_CASH_ST_INVEST_NUM_EST" hidden="1">"c4254"</definedName>
    <definedName name="IQ_CASH_ST_INVEST_STDDEV_EST" hidden="1">"c4255"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FPS_ACT_OR_EST" hidden="1">"c2217"</definedName>
    <definedName name="IQ_CFPS_ACT_OR_EST_REUT" hidden="1">"c5463"</definedName>
    <definedName name="IQ_CFPS_EST" hidden="1">"c1667"</definedName>
    <definedName name="IQ_CFPS_EST_REUT" hidden="1">"c3844"</definedName>
    <definedName name="IQ_CFPS_GUIDANCE" hidden="1">"c4256"</definedName>
    <definedName name="IQ_CFPS_HIGH_EST" hidden="1">"c1669"</definedName>
    <definedName name="IQ_CFPS_HIGH_EST_REUT" hidden="1">"c3846"</definedName>
    <definedName name="IQ_CFPS_HIGH_GUIDANCE" hidden="1">"c4167"</definedName>
    <definedName name="IQ_CFPS_LOW_EST" hidden="1">"c1670"</definedName>
    <definedName name="IQ_CFPS_LOW_EST_REUT" hidden="1">"c3847"</definedName>
    <definedName name="IQ_CFPS_LOW_GUIDANCE" hidden="1">"c4207"</definedName>
    <definedName name="IQ_CFPS_MEDIAN_EST" hidden="1">"c1668"</definedName>
    <definedName name="IQ_CFPS_MEDIAN_EST_REUT" hidden="1">"c3845"</definedName>
    <definedName name="IQ_CFPS_NUM_EST" hidden="1">"c1671"</definedName>
    <definedName name="IQ_CFPS_NUM_EST_REUT" hidden="1">"c3848"</definedName>
    <definedName name="IQ_CFPS_STDDEV_EST" hidden="1">"c1672"</definedName>
    <definedName name="IQ_CFPS_STDDEV_EST_REUT" hidden="1">"c3849"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TY_EST" hidden="1">"c4257"</definedName>
    <definedName name="IQ_DEBT_EQUITY_HIGH_EST" hidden="1">"c4258"</definedName>
    <definedName name="IQ_DEBT_EQUITY_LOW_EST" hidden="1">"c4259"</definedName>
    <definedName name="IQ_DEBT_EQUITY_MEDIAN_EST" hidden="1">"c4260"</definedName>
    <definedName name="IQ_DEBT_EQUITY_NUM_EST" hidden="1">"c4261"</definedName>
    <definedName name="IQ_DEBT_EQUITY_STDDEV_EST" hidden="1">"c4262"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FF_LASTCLOSE_TARGET_PRICE_REUT" hidden="1">"c5436"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HIGH_EST" hidden="1">"c4264"</definedName>
    <definedName name="IQ_DILUT_OUTSTANDING_CURRENT_LOW_EST" hidden="1">"c4265"</definedName>
    <definedName name="IQ_DILUT_OUTSTANDING_CURRENT_MEDIAN_EST" hidden="1">"c4266"</definedName>
    <definedName name="IQ_DILUT_OUTSTANDING_CURRENT_NUM_EST" hidden="1">"c4267"</definedName>
    <definedName name="IQ_DILUT_OUTSTANDING_CURRENT_STDDEV_EST" hidden="1">"c4268"</definedName>
    <definedName name="IQ_DILUT_WEIGHT" hidden="1">"c326"</definedName>
    <definedName name="IQ_DILUT_WEIGHT_EST" hidden="1">"c4269"</definedName>
    <definedName name="IQ_DILUT_WEIGHT_GUIDANCE" hidden="1">"c4270"</definedName>
    <definedName name="IQ_DILUT_WEIGHT_HIGH_EST" hidden="1">"c4271"</definedName>
    <definedName name="IQ_DILUT_WEIGHT_LOW_EST" hidden="1">"c4272"</definedName>
    <definedName name="IQ_DILUT_WEIGHT_MEDIAN_EST" hidden="1">"c4273"</definedName>
    <definedName name="IQ_DILUT_WEIGHT_NUM_EST" hidden="1">"c4274"</definedName>
    <definedName name="IQ_DILUT_WEIGHT_STDDEV_EST" hidden="1">"c4275"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EST" hidden="1">"c4277"</definedName>
    <definedName name="IQ_DISTRIBUTABLE_CASH_GUIDANCE" hidden="1">"c4279"</definedName>
    <definedName name="IQ_DISTRIBUTABLE_CASH_HIGH_EST" hidden="1">"c4280"</definedName>
    <definedName name="IQ_DISTRIBUTABLE_CASH_HIGH_GUIDANCE" hidden="1">"c4198"</definedName>
    <definedName name="IQ_DISTRIBUTABLE_CASH_LOW_EST" hidden="1">"c4281"</definedName>
    <definedName name="IQ_DISTRIBUTABLE_CASH_LOW_GUIDANCE" hidden="1">"c4238"</definedName>
    <definedName name="IQ_DISTRIBUTABLE_CASH_MEDIAN_EST" hidden="1">"c4282"</definedName>
    <definedName name="IQ_DISTRIBUTABLE_CASH_NUM_EST" hidden="1">"c4283"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STRIBUTABLE_CASH_SHARE_EST" hidden="1">"c4285"</definedName>
    <definedName name="IQ_DISTRIBUTABLE_CASH_SHARE_GUIDANCE" hidden="1">"c4287"</definedName>
    <definedName name="IQ_DISTRIBUTABLE_CASH_SHARE_HIGH_EST" hidden="1">"c4288"</definedName>
    <definedName name="IQ_DISTRIBUTABLE_CASH_SHARE_HIGH_GUIDANCE" hidden="1">"c4199"</definedName>
    <definedName name="IQ_DISTRIBUTABLE_CASH_SHARE_LOW_EST" hidden="1">"c4289"</definedName>
    <definedName name="IQ_DISTRIBUTABLE_CASH_SHARE_LOW_GUIDANCE" hidden="1">"c4239"</definedName>
    <definedName name="IQ_DISTRIBUTABLE_CASH_SHARE_MEDIAN_EST" hidden="1">"c4290"</definedName>
    <definedName name="IQ_DISTRIBUTABLE_CASH_SHARE_NUM_EST" hidden="1">"c4291"</definedName>
    <definedName name="IQ_DISTRIBUTABLE_CASH_SHARE_STDDEV_EST" hidden="1">"c4292"</definedName>
    <definedName name="IQ_DISTRIBUTABLE_CASH_STDDEV_EST" hidden="1">"c4294"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HIGH_EST" hidden="1">"c4297"</definedName>
    <definedName name="IQ_DIVIDEND_LOW_EST" hidden="1">"c4298"</definedName>
    <definedName name="IQ_DIVIDEND_MEDIAN_EST" hidden="1">"c4299"</definedName>
    <definedName name="IQ_DIVIDEND_NUM_EST" hidden="1">"c4300"</definedName>
    <definedName name="IQ_DIVIDEND_STDDEV_EST" hidden="1">"c4301"</definedName>
    <definedName name="IQ_DIVIDEND_YIELD" hidden="1">"c332"</definedName>
    <definedName name="IQ_DNTM" hidden="1">700000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PS_ACT_OR_EST" hidden="1">"c2218"</definedName>
    <definedName name="IQ_DPS_ACT_OR_EST_REUT" hidden="1">"c5464"</definedName>
    <definedName name="IQ_DPS_EST" hidden="1">"c1674"</definedName>
    <definedName name="IQ_DPS_EST_BOTTOM_UP" hidden="1">"c5493"</definedName>
    <definedName name="IQ_DPS_EST_BOTTOM_UP_REUT" hidden="1">"c5501"</definedName>
    <definedName name="IQ_DPS_EST_REUT" hidden="1">"c3851"</definedName>
    <definedName name="IQ_DPS_GUIDANCE" hidden="1">"c4302"</definedName>
    <definedName name="IQ_DPS_HIGH_EST" hidden="1">"c1676"</definedName>
    <definedName name="IQ_DPS_HIGH_EST_REUT" hidden="1">"c3853"</definedName>
    <definedName name="IQ_DPS_HIGH_GUIDANCE" hidden="1">"c4168"</definedName>
    <definedName name="IQ_DPS_LOW_EST" hidden="1">"c1677"</definedName>
    <definedName name="IQ_DPS_LOW_EST_REUT" hidden="1">"c3854"</definedName>
    <definedName name="IQ_DPS_LOW_GUIDANCE" hidden="1">"c4208"</definedName>
    <definedName name="IQ_DPS_MEDIAN_EST" hidden="1">"c1675"</definedName>
    <definedName name="IQ_DPS_MEDIAN_EST_REUT" hidden="1">"c3852"</definedName>
    <definedName name="IQ_DPS_NUM_EST" hidden="1">"c1678"</definedName>
    <definedName name="IQ_DPS_NUM_EST_REUT" hidden="1">"c3855"</definedName>
    <definedName name="IQ_DPS_STDDEV_EST" hidden="1">"c1679"</definedName>
    <definedName name="IQ_DPS_STDDEV_EST_REUT" hidden="1">"c3856"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ACT_OR_EST" hidden="1">"c2219"</definedName>
    <definedName name="IQ_EBIT_ACT_OR_EST_REUT" hidden="1">"c5465"</definedName>
    <definedName name="IQ_EBIT_EQ_INC" hidden="1">"c3498"</definedName>
    <definedName name="IQ_EBIT_EQ_INC_EXCL_SBC" hidden="1">"c3502"</definedName>
    <definedName name="IQ_EBIT_EST" hidden="1">"c1681"</definedName>
    <definedName name="IQ_EBIT_EST_REUT" hidden="1">"c5333"</definedName>
    <definedName name="IQ_EBIT_EXCL_SBC" hidden="1">"c3082"</definedName>
    <definedName name="IQ_EBIT_GUIDANCE" hidden="1">"c4303"</definedName>
    <definedName name="IQ_EBIT_GW_ACT_OR_EST" hidden="1">"c4306"</definedName>
    <definedName name="IQ_EBIT_GW_EST" hidden="1">"c4305"</definedName>
    <definedName name="IQ_EBIT_GW_GUIDANCE" hidden="1">"c4307"</definedName>
    <definedName name="IQ_EBIT_GW_HIGH_EST" hidden="1">"c4308"</definedName>
    <definedName name="IQ_EBIT_GW_HIGH_GUIDANCE" hidden="1">"c4171"</definedName>
    <definedName name="IQ_EBIT_GW_LOW_EST" hidden="1">"c4309"</definedName>
    <definedName name="IQ_EBIT_GW_LOW_GUIDANCE" hidden="1">"c4211"</definedName>
    <definedName name="IQ_EBIT_GW_MEDIAN_EST" hidden="1">"c4310"</definedName>
    <definedName name="IQ_EBIT_GW_NUM_EST" hidden="1">"c4311"</definedName>
    <definedName name="IQ_EBIT_GW_STDDEV_EST" hidden="1">"c4312"</definedName>
    <definedName name="IQ_EBIT_HIGH_EST" hidden="1">"c1683"</definedName>
    <definedName name="IQ_EBIT_HIGH_EST_REUT" hidden="1">"c5335"</definedName>
    <definedName name="IQ_EBIT_HIGH_GUIDANCE" hidden="1">"c4172"</definedName>
    <definedName name="IQ_EBIT_INT" hidden="1">"c360"</definedName>
    <definedName name="IQ_EBIT_LOW_EST" hidden="1">"c1684"</definedName>
    <definedName name="IQ_EBIT_LOW_EST_REUT" hidden="1">"c5336"</definedName>
    <definedName name="IQ_EBIT_LOW_GUIDANCE" hidden="1">"c4212"</definedName>
    <definedName name="IQ_EBIT_MARGIN" hidden="1">"c359"</definedName>
    <definedName name="IQ_EBIT_MEDIAN_EST" hidden="1">"c1682"</definedName>
    <definedName name="IQ_EBIT_MEDIAN_EST_REUT" hidden="1">"c5334"</definedName>
    <definedName name="IQ_EBIT_NUM_EST" hidden="1">"c1685"</definedName>
    <definedName name="IQ_EBIT_NUM_EST_REUT" hidden="1">"c5337"</definedName>
    <definedName name="IQ_EBIT_OVER_IE" hidden="1">"c1369"</definedName>
    <definedName name="IQ_EBIT_SBC_ACT_OR_EST" hidden="1">"c4316"</definedName>
    <definedName name="IQ_EBIT_SBC_EST" hidden="1">"c4315"</definedName>
    <definedName name="IQ_EBIT_SBC_GUIDANCE" hidden="1">"c4317"</definedName>
    <definedName name="IQ_EBIT_SBC_GW_ACT_OR_EST" hidden="1">"c4320"</definedName>
    <definedName name="IQ_EBIT_SBC_GW_EST" hidden="1">"c4319"</definedName>
    <definedName name="IQ_EBIT_SBC_GW_GUIDANCE" hidden="1">"c4321"</definedName>
    <definedName name="IQ_EBIT_SBC_GW_HIGH_EST" hidden="1">"c4322"</definedName>
    <definedName name="IQ_EBIT_SBC_GW_HIGH_GUIDANCE" hidden="1">"c4193"</definedName>
    <definedName name="IQ_EBIT_SBC_GW_LOW_EST" hidden="1">"c4323"</definedName>
    <definedName name="IQ_EBIT_SBC_GW_LOW_GUIDANCE" hidden="1">"c4233"</definedName>
    <definedName name="IQ_EBIT_SBC_GW_MEDIAN_EST" hidden="1">"c4324"</definedName>
    <definedName name="IQ_EBIT_SBC_GW_NUM_EST" hidden="1">"c4325"</definedName>
    <definedName name="IQ_EBIT_SBC_GW_STDDEV_EST" hidden="1">"c4326"</definedName>
    <definedName name="IQ_EBIT_SBC_HIGH_EST" hidden="1">"c4328"</definedName>
    <definedName name="IQ_EBIT_SBC_HIGH_GUIDANCE" hidden="1">"c4192"</definedName>
    <definedName name="IQ_EBIT_SBC_LOW_EST" hidden="1">"c4329"</definedName>
    <definedName name="IQ_EBIT_SBC_LOW_GUIDANCE" hidden="1">"c4232"</definedName>
    <definedName name="IQ_EBIT_SBC_MEDIAN_EST" hidden="1">"c4330"</definedName>
    <definedName name="IQ_EBIT_SBC_NUM_EST" hidden="1">"c4331"</definedName>
    <definedName name="IQ_EBIT_SBC_STDDEV_EST" hidden="1">"c4332"</definedName>
    <definedName name="IQ_EBIT_STDDEV_EST" hidden="1">"c1686"</definedName>
    <definedName name="IQ_EBIT_STDDEV_EST_REUT" hidden="1">"c5338"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ACT_OR_EST" hidden="1">"c2215"</definedName>
    <definedName name="IQ_EBITDA_ACT_OR_EST_REUT" hidden="1">"c5462"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GUIDANCE" hidden="1">"c4334"</definedName>
    <definedName name="IQ_EBITDA_HIGH_EST" hidden="1">"c370"</definedName>
    <definedName name="IQ_EBITDA_HIGH_EST_REUT" hidden="1">"c3642"</definedName>
    <definedName name="IQ_EBITDA_HIGH_GUIDANCE" hidden="1">"c4170"</definedName>
    <definedName name="IQ_EBITDA_INT" hidden="1">"c373"</definedName>
    <definedName name="IQ_EBITDA_LOW_EST" hidden="1">"c371"</definedName>
    <definedName name="IQ_EBITDA_LOW_EST_REUT" hidden="1">"c3643"</definedName>
    <definedName name="IQ_EBITDA_LOW_GUIDANCE" hidden="1">"c4210"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BC_EST" hidden="1">"c4336"</definedName>
    <definedName name="IQ_EBITDA_SBC_GUIDANCE" hidden="1">"c4338"</definedName>
    <definedName name="IQ_EBITDA_SBC_HIGH_EST" hidden="1">"c4339"</definedName>
    <definedName name="IQ_EBITDA_SBC_HIGH_GUIDANCE" hidden="1">"c4194"</definedName>
    <definedName name="IQ_EBITDA_SBC_LOW_EST" hidden="1">"c4340"</definedName>
    <definedName name="IQ_EBITDA_SBC_LOW_GUIDANCE" hidden="1">"c4234"</definedName>
    <definedName name="IQ_EBITDA_SBC_MEDIAN_EST" hidden="1">"c4341"</definedName>
    <definedName name="IQ_EBITDA_SBC_NUM_EST" hidden="1">"c4342"</definedName>
    <definedName name="IQ_EBITDA_SBC_STDDEV_EST" hidden="1">"c4343"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GAAP_GUIDANCE" hidden="1">"c4345"</definedName>
    <definedName name="IQ_EBT_GAAP_HIGH_GUIDANCE" hidden="1">"c4174"</definedName>
    <definedName name="IQ_EBT_GAAP_LOW_GUIDANCE" hidden="1">"c4214"</definedName>
    <definedName name="IQ_EBT_GUIDANCE" hidden="1">"c4346"</definedName>
    <definedName name="IQ_EBT_GW_GUIDANCE" hidden="1">"c4347"</definedName>
    <definedName name="IQ_EBT_GW_HIGH_GUIDANCE" hidden="1">"c4175"</definedName>
    <definedName name="IQ_EBT_GW_LOW_GUIDANCE" hidden="1">"c4215"</definedName>
    <definedName name="IQ_EBT_HIGH_GUIDANCE" hidden="1">"c4173"</definedName>
    <definedName name="IQ_EBT_INCL_MARGIN" hidden="1">"c387"</definedName>
    <definedName name="IQ_EBT_INS" hidden="1">"c388"</definedName>
    <definedName name="IQ_EBT_LOW_GUIDANCE" hidden="1">"c4213"</definedName>
    <definedName name="IQ_EBT_REIT" hidden="1">"c389"</definedName>
    <definedName name="IQ_EBT_SBC_ACT_OR_EST" hidden="1">"c4350"</definedName>
    <definedName name="IQ_EBT_SBC_EST" hidden="1">"c4349"</definedName>
    <definedName name="IQ_EBT_SBC_GUIDANCE" hidden="1">"c4351"</definedName>
    <definedName name="IQ_EBT_SBC_GW_ACT_OR_EST" hidden="1">"c4354"</definedName>
    <definedName name="IQ_EBT_SBC_GW_EST" hidden="1">"c4353"</definedName>
    <definedName name="IQ_EBT_SBC_GW_GUIDANCE" hidden="1">"c4355"</definedName>
    <definedName name="IQ_EBT_SBC_GW_HIGH_EST" hidden="1">"c4356"</definedName>
    <definedName name="IQ_EBT_SBC_GW_HIGH_GUIDANCE" hidden="1">"c4191"</definedName>
    <definedName name="IQ_EBT_SBC_GW_LOW_EST" hidden="1">"c4357"</definedName>
    <definedName name="IQ_EBT_SBC_GW_LOW_GUIDANCE" hidden="1">"c4231"</definedName>
    <definedName name="IQ_EBT_SBC_GW_MEDIAN_EST" hidden="1">"c4358"</definedName>
    <definedName name="IQ_EBT_SBC_GW_NUM_EST" hidden="1">"c4359"</definedName>
    <definedName name="IQ_EBT_SBC_GW_STDDEV_EST" hidden="1">"c4360"</definedName>
    <definedName name="IQ_EBT_SBC_HIGH_EST" hidden="1">"c4362"</definedName>
    <definedName name="IQ_EBT_SBC_HIGH_GUIDANCE" hidden="1">"c4190"</definedName>
    <definedName name="IQ_EBT_SBC_LOW_EST" hidden="1">"c4363"</definedName>
    <definedName name="IQ_EBT_SBC_LOW_GUIDANCE" hidden="1">"c4230"</definedName>
    <definedName name="IQ_EBT_SBC_MEDIAN_EST" hidden="1">"c4364"</definedName>
    <definedName name="IQ_EBT_SBC_NUM_EST" hidden="1">"c4365"</definedName>
    <definedName name="IQ_EBT_SBC_STDDEV_EST" hidden="1">"c4366"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ACT_OR_EST_REUT" hidden="1">"c5460"</definedName>
    <definedName name="IQ_EPS_EST" hidden="1">"c399"</definedName>
    <definedName name="IQ_EPS_EST_BOTTOM_UP" hidden="1">"c5489"</definedName>
    <definedName name="IQ_EPS_EST_BOTTOM_UP_REUT" hidden="1">"c5497"</definedName>
    <definedName name="IQ_EPS_EST_REUT" hidden="1">"c5453"</definedName>
    <definedName name="IQ_EPS_EXCL_GUIDANCE" hidden="1">"c4368"</definedName>
    <definedName name="IQ_EPS_EXCL_HIGH_GUIDANCE" hidden="1">"c4369"</definedName>
    <definedName name="IQ_EPS_EXCL_LOW_GUIDANCE" hidden="1">"c4204"</definedName>
    <definedName name="IQ_EPS_GAAP_GUIDANCE" hidden="1">"c4370"</definedName>
    <definedName name="IQ_EPS_GAAP_HIGH_GUIDANCE" hidden="1">"c4371"</definedName>
    <definedName name="IQ_EPS_GAAP_LOW_GUIDANCE" hidden="1">"c4205"</definedName>
    <definedName name="IQ_EPS_GW_ACT_OR_EST" hidden="1">"c2223"</definedName>
    <definedName name="IQ_EPS_GW_ACT_OR_EST_REUT" hidden="1">"c5469"</definedName>
    <definedName name="IQ_EPS_GW_EST" hidden="1">"c1737"</definedName>
    <definedName name="IQ_EPS_GW_EST_BOTTOM_UP" hidden="1">"c5491"</definedName>
    <definedName name="IQ_EPS_GW_EST_BOTTOM_UP_REUT" hidden="1">"c5499"</definedName>
    <definedName name="IQ_EPS_GW_EST_REUT" hidden="1">"c5389"</definedName>
    <definedName name="IQ_EPS_GW_GUIDANCE" hidden="1">"c4372"</definedName>
    <definedName name="IQ_EPS_GW_HIGH_EST" hidden="1">"c1739"</definedName>
    <definedName name="IQ_EPS_GW_HIGH_EST_REUT" hidden="1">"c5391"</definedName>
    <definedName name="IQ_EPS_GW_HIGH_GUIDANCE" hidden="1">"c4373"</definedName>
    <definedName name="IQ_EPS_GW_LOW_EST" hidden="1">"c1740"</definedName>
    <definedName name="IQ_EPS_GW_LOW_EST_REUT" hidden="1">"c5392"</definedName>
    <definedName name="IQ_EPS_GW_LOW_GUIDANCE" hidden="1">"c4206"</definedName>
    <definedName name="IQ_EPS_GW_MEDIAN_EST" hidden="1">"c1738"</definedName>
    <definedName name="IQ_EPS_GW_MEDIAN_EST_REUT" hidden="1">"c5390"</definedName>
    <definedName name="IQ_EPS_GW_NUM_EST" hidden="1">"c1741"</definedName>
    <definedName name="IQ_EPS_GW_NUM_EST_REUT" hidden="1">"c5393"</definedName>
    <definedName name="IQ_EPS_GW_STDDEV_EST" hidden="1">"c1742"</definedName>
    <definedName name="IQ_EPS_GW_STDDEV_EST_REUT" hidden="1">"c5394"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ORM_EST" hidden="1">"c2226"</definedName>
    <definedName name="IQ_EPS_NORM_EST_BOTTOM_UP" hidden="1">"c5490"</definedName>
    <definedName name="IQ_EPS_NORM_EST_BOTTOM_UP_REUT" hidden="1">"c5498"</definedName>
    <definedName name="IQ_EPS_NORM_EST_REUT" hidden="1">"c5326"</definedName>
    <definedName name="IQ_EPS_NORM_HIGH_EST" hidden="1">"c2228"</definedName>
    <definedName name="IQ_EPS_NORM_HIGH_EST_REUT" hidden="1">"c5328"</definedName>
    <definedName name="IQ_EPS_NORM_LOW_EST" hidden="1">"c2229"</definedName>
    <definedName name="IQ_EPS_NORM_LOW_EST_REUT" hidden="1">"c5329"</definedName>
    <definedName name="IQ_EPS_NORM_MEDIAN_EST" hidden="1">"c2227"</definedName>
    <definedName name="IQ_EPS_NORM_MEDIAN_EST_REUT" hidden="1">"c5327"</definedName>
    <definedName name="IQ_EPS_NORM_NUM_EST" hidden="1">"c2230"</definedName>
    <definedName name="IQ_EPS_NORM_NUM_EST_REUT" hidden="1">"c5330"</definedName>
    <definedName name="IQ_EPS_NORM_STDDEV_EST" hidden="1">"c2231"</definedName>
    <definedName name="IQ_EPS_NORM_STDDEV_EST_REUT" hidden="1">"c5331"</definedName>
    <definedName name="IQ_EPS_NUM_EST" hidden="1">"c402"</definedName>
    <definedName name="IQ_EPS_NUM_EST_REUT" hidden="1">"c5451"</definedName>
    <definedName name="IQ_EPS_REPORT_ACT_OR_EST" hidden="1">"c2224"</definedName>
    <definedName name="IQ_EPS_REPORT_ACT_OR_EST_REUT" hidden="1">"c5470"</definedName>
    <definedName name="IQ_EPS_REPORTED_EST" hidden="1">"c1744"</definedName>
    <definedName name="IQ_EPS_REPORTED_EST_BOTTOM_UP" hidden="1">"c5492"</definedName>
    <definedName name="IQ_EPS_REPORTED_EST_BOTTOM_UP_REUT" hidden="1">"c5500"</definedName>
    <definedName name="IQ_EPS_REPORTED_EST_REUT" hidden="1">"c5396"</definedName>
    <definedName name="IQ_EPS_REPORTED_HIGH_EST" hidden="1">"c1746"</definedName>
    <definedName name="IQ_EPS_REPORTED_HIGH_EST_REUT" hidden="1">"c5398"</definedName>
    <definedName name="IQ_EPS_REPORTED_LOW_EST" hidden="1">"c1747"</definedName>
    <definedName name="IQ_EPS_REPORTED_LOW_EST_REUT" hidden="1">"c5399"</definedName>
    <definedName name="IQ_EPS_REPORTED_MEDIAN_EST" hidden="1">"c1745"</definedName>
    <definedName name="IQ_EPS_REPORTED_MEDIAN_EST_REUT" hidden="1">"c5397"</definedName>
    <definedName name="IQ_EPS_REPORTED_NUM_EST" hidden="1">"c1748"</definedName>
    <definedName name="IQ_EPS_REPORTED_NUM_EST_REUT" hidden="1">"c5400"</definedName>
    <definedName name="IQ_EPS_REPORTED_STDDEV_EST" hidden="1">"c1749"</definedName>
    <definedName name="IQ_EPS_REPORTED_STDDEV_EST_REUT" hidden="1">"c5401"</definedName>
    <definedName name="IQ_EPS_SBC_ACT_OR_EST" hidden="1">"c4376"</definedName>
    <definedName name="IQ_EPS_SBC_EST" hidden="1">"c4375"</definedName>
    <definedName name="IQ_EPS_SBC_GUIDANCE" hidden="1">"c4377"</definedName>
    <definedName name="IQ_EPS_SBC_GW_ACT_OR_EST" hidden="1">"c4380"</definedName>
    <definedName name="IQ_EPS_SBC_GW_EST" hidden="1">"c4379"</definedName>
    <definedName name="IQ_EPS_SBC_GW_GUIDANCE" hidden="1">"c4381"</definedName>
    <definedName name="IQ_EPS_SBC_GW_HIGH_EST" hidden="1">"c4382"</definedName>
    <definedName name="IQ_EPS_SBC_GW_HIGH_GUIDANCE" hidden="1">"c4189"</definedName>
    <definedName name="IQ_EPS_SBC_GW_LOW_EST" hidden="1">"c4383"</definedName>
    <definedName name="IQ_EPS_SBC_GW_LOW_GUIDANCE" hidden="1">"c4229"</definedName>
    <definedName name="IQ_EPS_SBC_GW_MEDIAN_EST" hidden="1">"c4384"</definedName>
    <definedName name="IQ_EPS_SBC_GW_NUM_EST" hidden="1">"c4385"</definedName>
    <definedName name="IQ_EPS_SBC_GW_STDDEV_EST" hidden="1">"c4386"</definedName>
    <definedName name="IQ_EPS_SBC_HIGH_EST" hidden="1">"c4388"</definedName>
    <definedName name="IQ_EPS_SBC_HIGH_GUIDANCE" hidden="1">"c4188"</definedName>
    <definedName name="IQ_EPS_SBC_LOW_EST" hidden="1">"c4389"</definedName>
    <definedName name="IQ_EPS_SBC_LOW_GUIDANCE" hidden="1">"c4228"</definedName>
    <definedName name="IQ_EPS_SBC_MEDIAN_EST" hidden="1">"c4390"</definedName>
    <definedName name="IQ_EPS_SBC_NUM_EST" hidden="1">"c4391"</definedName>
    <definedName name="IQ_EPS_SBC_STDDEV_EST" hidden="1">"c4392"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BV" hidden="1">"c5630"</definedName>
    <definedName name="IQ_EST_ACT_BV_SHARE" hidden="1">"c3549"</definedName>
    <definedName name="IQ_EST_ACT_BV_SHARE_REUT" hidden="1">"c5445"</definedName>
    <definedName name="IQ_EST_ACT_CAPEX" hidden="1">"c3546"</definedName>
    <definedName name="IQ_EST_ACT_CAPEX_REUT" hidden="1">"c3975"</definedName>
    <definedName name="IQ_EST_ACT_CASH_EPS" hidden="1">"c5637"</definedName>
    <definedName name="IQ_EST_ACT_CASH_FLOW" hidden="1">"c4394"</definedName>
    <definedName name="IQ_EST_ACT_CASH_OPER" hidden="1">"c4395"</definedName>
    <definedName name="IQ_EST_ACT_CFPS" hidden="1">"c1673"</definedName>
    <definedName name="IQ_EST_ACT_CFPS_REUT" hidden="1">"c3850"</definedName>
    <definedName name="IQ_EST_ACT_DISTRIBUTABLE_CASH" hidden="1">"c4396"</definedName>
    <definedName name="IQ_EST_ACT_DISTRIBUTABLE_CASH_SHARE" hidden="1">"c4397"</definedName>
    <definedName name="IQ_EST_ACT_DPS" hidden="1">"c1680"</definedName>
    <definedName name="IQ_EST_ACT_DPS_REUT" hidden="1">"c3857"</definedName>
    <definedName name="IQ_EST_ACT_EBIT" hidden="1">"c1687"</definedName>
    <definedName name="IQ_EST_ACT_EBIT_GW" hidden="1">"c4398"</definedName>
    <definedName name="IQ_EST_ACT_EBIT_REUT" hidden="1">"c5339"</definedName>
    <definedName name="IQ_EST_ACT_EBIT_SBC" hidden="1">"c4399"</definedName>
    <definedName name="IQ_EST_ACT_EBIT_SBC_GW" hidden="1">"c4400"</definedName>
    <definedName name="IQ_EST_ACT_EBITDA" hidden="1">"c1664"</definedName>
    <definedName name="IQ_EST_ACT_EBITDA_REUT" hidden="1">"c3836"</definedName>
    <definedName name="IQ_EST_ACT_EBITDA_SBC" hidden="1">"c4401"</definedName>
    <definedName name="IQ_EST_ACT_EBT_SBC" hidden="1">"c4402"</definedName>
    <definedName name="IQ_EST_ACT_EBT_SBC_GW" hidden="1">"c4403"</definedName>
    <definedName name="IQ_EST_ACT_EPS" hidden="1">"c1648"</definedName>
    <definedName name="IQ_EST_ACT_EPS_GW" hidden="1">"c1743"</definedName>
    <definedName name="IQ_EST_ACT_EPS_GW_REUT" hidden="1">"c5395"</definedName>
    <definedName name="IQ_EST_ACT_EPS_NORM" hidden="1">"c2232"</definedName>
    <definedName name="IQ_EST_ACT_EPS_NORM_REUT" hidden="1">"c5332"</definedName>
    <definedName name="IQ_EST_ACT_EPS_REPORTED" hidden="1">"c1750"</definedName>
    <definedName name="IQ_EST_ACT_EPS_REPORTED_REUT" hidden="1">"c5402"</definedName>
    <definedName name="IQ_EST_ACT_EPS_REUT" hidden="1">"c5457"</definedName>
    <definedName name="IQ_EST_ACT_EPS_SBC" hidden="1">"c4404"</definedName>
    <definedName name="IQ_EST_ACT_EPS_SBC_GW" hidden="1">"c4405"</definedName>
    <definedName name="IQ_EST_ACT_FFO" hidden="1">"c1666"</definedName>
    <definedName name="IQ_EST_ACT_FFO_ADJ" hidden="1">"c4406"</definedName>
    <definedName name="IQ_EST_ACT_FFO_REUT" hidden="1">"c3843"</definedName>
    <definedName name="IQ_EST_ACT_FFO_SHARE" hidden="1">"c4407"</definedName>
    <definedName name="IQ_EST_ACT_GROSS_MARGIN" hidden="1">"c5553"</definedName>
    <definedName name="IQ_EST_ACT_MAINT_CAPEX" hidden="1">"c4408"</definedName>
    <definedName name="IQ_EST_ACT_NAV" hidden="1">"c1757"</definedName>
    <definedName name="IQ_EST_ACT_NAV_SHARE" hidden="1">"c5608"</definedName>
    <definedName name="IQ_EST_ACT_NAV_SHARE_REUT" hidden="1">"c5616"</definedName>
    <definedName name="IQ_EST_ACT_NET_DEBT" hidden="1">"c3545"</definedName>
    <definedName name="IQ_EST_ACT_NET_DEBT_REUT" hidden="1">"c5446"</definedName>
    <definedName name="IQ_EST_ACT_NI" hidden="1">"c1722"</definedName>
    <definedName name="IQ_EST_ACT_NI_GW" hidden="1">"c1729"</definedName>
    <definedName name="IQ_EST_ACT_NI_GW_REUT" hidden="1">"c5381"</definedName>
    <definedName name="IQ_EST_ACT_NI_REPORTED" hidden="1">"c1736"</definedName>
    <definedName name="IQ_EST_ACT_NI_REPORTED_REUT" hidden="1">"c5388"</definedName>
    <definedName name="IQ_EST_ACT_NI_REUT" hidden="1">"c5374"</definedName>
    <definedName name="IQ_EST_ACT_NI_SBC" hidden="1">"c4409"</definedName>
    <definedName name="IQ_EST_ACT_NI_SBC_GW" hidden="1">"c4410"</definedName>
    <definedName name="IQ_EST_ACT_OPER_INC" hidden="1">"c1694"</definedName>
    <definedName name="IQ_EST_ACT_OPER_INC_REUT" hidden="1">"c5346"</definedName>
    <definedName name="IQ_EST_ACT_PRETAX_GW_INC" hidden="1">"c1708"</definedName>
    <definedName name="IQ_EST_ACT_PRETAX_GW_INC_REUT" hidden="1">"c5360"</definedName>
    <definedName name="IQ_EST_ACT_PRETAX_INC" hidden="1">"c1701"</definedName>
    <definedName name="IQ_EST_ACT_PRETAX_INC_REUT" hidden="1">"c5353"</definedName>
    <definedName name="IQ_EST_ACT_PRETAX_REPORT_INC" hidden="1">"c1715"</definedName>
    <definedName name="IQ_EST_ACT_PRETAX_REPORT_INC_REUT" hidden="1">"c5367"</definedName>
    <definedName name="IQ_EST_ACT_RECURRING_PROFIT" hidden="1">"c4411"</definedName>
    <definedName name="IQ_EST_ACT_RECURRING_PROFIT_SHARE" hidden="1">"c4412"</definedName>
    <definedName name="IQ_EST_ACT_RETURN_ASSETS" hidden="1">"c3547"</definedName>
    <definedName name="IQ_EST_ACT_RETURN_ASSETS_REUT" hidden="1">"c3996"</definedName>
    <definedName name="IQ_EST_ACT_RETURN_EQUITY" hidden="1">"c3548"</definedName>
    <definedName name="IQ_EST_ACT_RETURN_EQUITY_REUT" hidden="1">"c3989"</definedName>
    <definedName name="IQ_EST_ACT_REV" hidden="1">"c2113"</definedName>
    <definedName name="IQ_EST_ACT_REV_REUT" hidden="1">"c3835"</definedName>
    <definedName name="IQ_EST_BV_SHARE_DIFF" hidden="1">"c4147"</definedName>
    <definedName name="IQ_EST_BV_SHARE_SURPRISE_PERCENT" hidden="1">"c4148"</definedName>
    <definedName name="IQ_EST_CAPEX_DIFF" hidden="1">"c4149"</definedName>
    <definedName name="IQ_EST_CAPEX_GROWTH_1YR" hidden="1">"c3588"</definedName>
    <definedName name="IQ_EST_CAPEX_GROWTH_1YR_REUT" hidden="1">"c5447"</definedName>
    <definedName name="IQ_EST_CAPEX_GROWTH_2YR" hidden="1">"c3589"</definedName>
    <definedName name="IQ_EST_CAPEX_GROWTH_2YR_REUT" hidden="1">"c5448"</definedName>
    <definedName name="IQ_EST_CAPEX_GROWTH_Q_1YR" hidden="1">"c3590"</definedName>
    <definedName name="IQ_EST_CAPEX_GROWTH_Q_1YR_REUT" hidden="1">"c5449"</definedName>
    <definedName name="IQ_EST_CAPEX_SEQ_GROWTH_Q" hidden="1">"c3591"</definedName>
    <definedName name="IQ_EST_CAPEX_SEQ_GROWTH_Q_REUT" hidden="1">"c5450"</definedName>
    <definedName name="IQ_EST_CAPEX_SURPRISE_PERCENT" hidden="1">"c4151"</definedName>
    <definedName name="IQ_EST_CASH_FLOW_DIFF" hidden="1">"c4152"</definedName>
    <definedName name="IQ_EST_CASH_FLOW_SURPRISE_PERCENT" hidden="1">"c4161"</definedName>
    <definedName name="IQ_EST_CASH_OPER_DIFF" hidden="1">"c4162"</definedName>
    <definedName name="IQ_EST_CASH_OPER_SURPRISE_PERCENT" hidden="1">"c4248"</definedName>
    <definedName name="IQ_EST_CFPS_DIFF" hidden="1">"c1871"</definedName>
    <definedName name="IQ_EST_CFPS_DIFF_REUT" hidden="1">"c3892"</definedName>
    <definedName name="IQ_EST_CFPS_GROWTH_1YR" hidden="1">"c1774"</definedName>
    <definedName name="IQ_EST_CFPS_GROWTH_1YR_REUT" hidden="1">"c3878"</definedName>
    <definedName name="IQ_EST_CFPS_GROWTH_2YR" hidden="1">"c1775"</definedName>
    <definedName name="IQ_EST_CFPS_GROWTH_2YR_REUT" hidden="1">"c3879"</definedName>
    <definedName name="IQ_EST_CFPS_GROWTH_Q_1YR" hidden="1">"c1776"</definedName>
    <definedName name="IQ_EST_CFPS_GROWTH_Q_1YR_REUT" hidden="1">"c3880"</definedName>
    <definedName name="IQ_EST_CFPS_SEQ_GROWTH_Q" hidden="1">"c1777"</definedName>
    <definedName name="IQ_EST_CFPS_SEQ_GROWTH_Q_REUT" hidden="1">"c3881"</definedName>
    <definedName name="IQ_EST_CFPS_SURPRISE_PERCENT" hidden="1">"c1872"</definedName>
    <definedName name="IQ_EST_CFPS_SURPRISE_PERCENT_REUT" hidden="1">"c3893"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DISTRIBUTABLE_CASH_DIFF" hidden="1">"c4276"</definedName>
    <definedName name="IQ_EST_DISTRIBUTABLE_CASH_GROWTH_1YR" hidden="1">"c4413"</definedName>
    <definedName name="IQ_EST_DISTRIBUTABLE_CASH_GROWTH_2YR" hidden="1">"c4414"</definedName>
    <definedName name="IQ_EST_DISTRIBUTABLE_CASH_GROWTH_Q_1YR" hidden="1">"c4415"</definedName>
    <definedName name="IQ_EST_DISTRIBUTABLE_CASH_SEQ_GROWTH_Q" hidden="1">"c4416"</definedName>
    <definedName name="IQ_EST_DISTRIBUTABLE_CASH_SHARE_DIFF" hidden="1">"c4284"</definedName>
    <definedName name="IQ_EST_DISTRIBUTABLE_CASH_SHARE_GROWTH_1YR" hidden="1">"c4417"</definedName>
    <definedName name="IQ_EST_DISTRIBUTABLE_CASH_SHARE_GROWTH_2YR" hidden="1">"c4418"</definedName>
    <definedName name="IQ_EST_DISTRIBUTABLE_CASH_SHARE_GROWTH_Q_1YR" hidden="1">"c4419"</definedName>
    <definedName name="IQ_EST_DISTRIBUTABLE_CASH_SHARE_SEQ_GROWTH_Q" hidden="1">"c4420"</definedName>
    <definedName name="IQ_EST_DISTRIBUTABLE_CASH_SHARE_SURPRISE_PERCENT" hidden="1">"c4293"</definedName>
    <definedName name="IQ_EST_DISTRIBUTABLE_CASH_SURPRISE_PERCENT" hidden="1">"c4295"</definedName>
    <definedName name="IQ_EST_DPS_DIFF" hidden="1">"c1873"</definedName>
    <definedName name="IQ_EST_DPS_DIFF_REUT" hidden="1">"c3894"</definedName>
    <definedName name="IQ_EST_DPS_GROWTH_1YR" hidden="1">"c1778"</definedName>
    <definedName name="IQ_EST_DPS_GROWTH_1YR_REUT" hidden="1">"c3882"</definedName>
    <definedName name="IQ_EST_DPS_GROWTH_2YR" hidden="1">"c1779"</definedName>
    <definedName name="IQ_EST_DPS_GROWTH_2YR_REUT" hidden="1">"c3883"</definedName>
    <definedName name="IQ_EST_DPS_GROWTH_Q_1YR" hidden="1">"c1780"</definedName>
    <definedName name="IQ_EST_DPS_GROWTH_Q_1YR_REUT" hidden="1">"c3884"</definedName>
    <definedName name="IQ_EST_DPS_SEQ_GROWTH_Q" hidden="1">"c1781"</definedName>
    <definedName name="IQ_EST_DPS_SEQ_GROWTH_Q_REUT" hidden="1">"c3885"</definedName>
    <definedName name="IQ_EST_DPS_SURPRISE_PERCENT" hidden="1">"c1874"</definedName>
    <definedName name="IQ_EST_DPS_SURPRISE_PERCENT_REUT" hidden="1">"c3895"</definedName>
    <definedName name="IQ_EST_EBIT_DIFF" hidden="1">"c1875"</definedName>
    <definedName name="IQ_EST_EBIT_DIFF_REUT" hidden="1">"c5413"</definedName>
    <definedName name="IQ_EST_EBIT_GW_DIFF" hidden="1">"c4304"</definedName>
    <definedName name="IQ_EST_EBIT_GW_SURPRISE_PERCENT" hidden="1">"c4313"</definedName>
    <definedName name="IQ_EST_EBIT_SBC_DIFF" hidden="1">"c4314"</definedName>
    <definedName name="IQ_EST_EBIT_SBC_GW_DIFF" hidden="1">"c4318"</definedName>
    <definedName name="IQ_EST_EBIT_SBC_GW_SURPRISE_PERCENT" hidden="1">"c4327"</definedName>
    <definedName name="IQ_EST_EBIT_SBC_SURPRISE_PERCENT" hidden="1">"c4333"</definedName>
    <definedName name="IQ_EST_EBIT_SURPRISE_PERCENT" hidden="1">"c1876"</definedName>
    <definedName name="IQ_EST_EBIT_SURPRISE_PERCENT_REUT" hidden="1">"c5414"</definedName>
    <definedName name="IQ_EST_EBITDA_DIFF" hidden="1">"c1867"</definedName>
    <definedName name="IQ_EST_EBITDA_DIFF_REUT" hidden="1">"c3888"</definedName>
    <definedName name="IQ_EST_EBITDA_GROWTH_1YR" hidden="1">"c1766"</definedName>
    <definedName name="IQ_EST_EBITDA_GROWTH_1YR_REUT" hidden="1">"c3864"</definedName>
    <definedName name="IQ_EST_EBITDA_GROWTH_2YR" hidden="1">"c1767"</definedName>
    <definedName name="IQ_EST_EBITDA_GROWTH_2YR_REUT" hidden="1">"c3865"</definedName>
    <definedName name="IQ_EST_EBITDA_GROWTH_Q_1YR" hidden="1">"c1768"</definedName>
    <definedName name="IQ_EST_EBITDA_GROWTH_Q_1YR_REUT" hidden="1">"c3866"</definedName>
    <definedName name="IQ_EST_EBITDA_SBC_DIFF" hidden="1">"c4335"</definedName>
    <definedName name="IQ_EST_EBITDA_SBC_SURPRISE_PERCENT" hidden="1">"c4344"</definedName>
    <definedName name="IQ_EST_EBITDA_SEQ_GROWTH_Q" hidden="1">"c1769"</definedName>
    <definedName name="IQ_EST_EBITDA_SEQ_GROWTH_Q_REUT" hidden="1">"c3867"</definedName>
    <definedName name="IQ_EST_EBITDA_SURPRISE_PERCENT" hidden="1">"c1868"</definedName>
    <definedName name="IQ_EST_EBITDA_SURPRISE_PERCENT_REUT" hidden="1">"c3889"</definedName>
    <definedName name="IQ_EST_EBT_SBC_DIFF" hidden="1">"c4348"</definedName>
    <definedName name="IQ_EST_EBT_SBC_GW_DIFF" hidden="1">"c4352"</definedName>
    <definedName name="IQ_EST_EBT_SBC_GW_SURPRISE_PERCENT" hidden="1">"c4361"</definedName>
    <definedName name="IQ_EST_EBT_SBC_SURPRISE_PERCENT" hidden="1">"c4367"</definedName>
    <definedName name="IQ_EST_EPS_DIFF" hidden="1">"c1864"</definedName>
    <definedName name="IQ_EST_EPS_DIFF_REUT" hidden="1">"c5458"</definedName>
    <definedName name="IQ_EST_EPS_GROWTH_1YR" hidden="1">"c1636"</definedName>
    <definedName name="IQ_EST_EPS_GROWTH_1YR_REUT" hidden="1">"c3646"</definedName>
    <definedName name="IQ_EST_EPS_GROWTH_2YR" hidden="1">"c1637"</definedName>
    <definedName name="IQ_EST_EPS_GROWTH_2YR_REUT" hidden="1">"c3858"</definedName>
    <definedName name="IQ_EST_EPS_GROWTH_5YR" hidden="1">"c1655"</definedName>
    <definedName name="IQ_EST_EPS_GROWTH_5YR_BOTTOM_UP" hidden="1">"c5487"</definedName>
    <definedName name="IQ_EST_EPS_GROWTH_5YR_BOTTOM_UP_REUT" hidden="1">"c5495"</definedName>
    <definedName name="IQ_EST_EPS_GROWTH_5YR_HIGH" hidden="1">"c1657"</definedName>
    <definedName name="IQ_EST_EPS_GROWTH_5YR_HIGH_REUT" hidden="1">"c5322"</definedName>
    <definedName name="IQ_EST_EPS_GROWTH_5YR_LOW" hidden="1">"c1658"</definedName>
    <definedName name="IQ_EST_EPS_GROWTH_5YR_LOW_REUT" hidden="1">"c5323"</definedName>
    <definedName name="IQ_EST_EPS_GROWTH_5YR_MEDIAN" hidden="1">"c1656"</definedName>
    <definedName name="IQ_EST_EPS_GROWTH_5YR_MEDIAN_REUT" hidden="1">"c5321"</definedName>
    <definedName name="IQ_EST_EPS_GROWTH_5YR_NUM" hidden="1">"c1659"</definedName>
    <definedName name="IQ_EST_EPS_GROWTH_5YR_NUM_REUT" hidden="1">"c5324"</definedName>
    <definedName name="IQ_EST_EPS_GROWTH_5YR_REUT" hidden="1">"c3633"</definedName>
    <definedName name="IQ_EST_EPS_GROWTH_5YR_STDDEV" hidden="1">"c1660"</definedName>
    <definedName name="IQ_EST_EPS_GROWTH_5YR_STDDEV_REUT" hidden="1">"c5325"</definedName>
    <definedName name="IQ_EST_EPS_GROWTH_Q_1YR" hidden="1">"c1641"</definedName>
    <definedName name="IQ_EST_EPS_GROWTH_Q_1YR_REUT" hidden="1">"c5410"</definedName>
    <definedName name="IQ_EST_EPS_GW_DIFF" hidden="1">"c1891"</definedName>
    <definedName name="IQ_EST_EPS_GW_DIFF_REUT" hidden="1">"c5429"</definedName>
    <definedName name="IQ_EST_EPS_GW_SURPRISE_PERCENT" hidden="1">"c1892"</definedName>
    <definedName name="IQ_EST_EPS_GW_SURPRISE_PERCENT_REUT" hidden="1">"c5430"</definedName>
    <definedName name="IQ_EST_EPS_NORM_DIFF" hidden="1">"c2247"</definedName>
    <definedName name="IQ_EST_EPS_NORM_DIFF_REUT" hidden="1">"c5411"</definedName>
    <definedName name="IQ_EST_EPS_NORM_SURPRISE_PERCENT" hidden="1">"c2248"</definedName>
    <definedName name="IQ_EST_EPS_NORM_SURPRISE_PERCENT_REUT" hidden="1">"c5412"</definedName>
    <definedName name="IQ_EST_EPS_REPORT_DIFF" hidden="1">"c1893"</definedName>
    <definedName name="IQ_EST_EPS_REPORT_DIFF_REUT" hidden="1">"c5431"</definedName>
    <definedName name="IQ_EST_EPS_REPORT_SURPRISE_PERCENT" hidden="1">"c1894"</definedName>
    <definedName name="IQ_EST_EPS_REPORT_SURPRISE_PERCENT_REUT" hidden="1">"c5432"</definedName>
    <definedName name="IQ_EST_EPS_SBC_DIFF" hidden="1">"c4374"</definedName>
    <definedName name="IQ_EST_EPS_SBC_GW_DIFF" hidden="1">"c4378"</definedName>
    <definedName name="IQ_EST_EPS_SBC_GW_SURPRISE_PERCENT" hidden="1">"c4387"</definedName>
    <definedName name="IQ_EST_EPS_SBC_SURPRISE_PERCENT" hidden="1">"c4393"</definedName>
    <definedName name="IQ_EST_EPS_SEQ_GROWTH_Q" hidden="1">"c1764"</definedName>
    <definedName name="IQ_EST_EPS_SEQ_GROWTH_Q_REUT" hidden="1">"c3859"</definedName>
    <definedName name="IQ_EST_EPS_SURPRISE_PERCENT" hidden="1">"c1635"</definedName>
    <definedName name="IQ_EST_EPS_SURPRISE_PERCENT_REUT" hidden="1">"c5459"</definedName>
    <definedName name="IQ_EST_FFO_ADJ_DIFF" hidden="1">"c4433"</definedName>
    <definedName name="IQ_EST_FFO_ADJ_GROWTH_1YR" hidden="1">"c4421"</definedName>
    <definedName name="IQ_EST_FFO_ADJ_GROWTH_2YR" hidden="1">"c4422"</definedName>
    <definedName name="IQ_EST_FFO_ADJ_GROWTH_Q_1YR" hidden="1">"c4423"</definedName>
    <definedName name="IQ_EST_FFO_ADJ_SEQ_GROWTH_Q" hidden="1">"c4424"</definedName>
    <definedName name="IQ_EST_FFO_ADJ_SURPRISE_PERCENT" hidden="1">"c4442"</definedName>
    <definedName name="IQ_EST_FFO_DIFF" hidden="1">"c1869"</definedName>
    <definedName name="IQ_EST_FFO_DIFF_REUT" hidden="1">"c3890"</definedName>
    <definedName name="IQ_EST_FFO_GROWTH_1YR" hidden="1">"c1770"</definedName>
    <definedName name="IQ_EST_FFO_GROWTH_1YR_REUT" hidden="1">"c3874"</definedName>
    <definedName name="IQ_EST_FFO_GROWTH_2YR" hidden="1">"c1771"</definedName>
    <definedName name="IQ_EST_FFO_GROWTH_2YR_REUT" hidden="1">"c3875"</definedName>
    <definedName name="IQ_EST_FFO_GROWTH_Q_1YR" hidden="1">"c1772"</definedName>
    <definedName name="IQ_EST_FFO_GROWTH_Q_1YR_REUT" hidden="1">"c3876"</definedName>
    <definedName name="IQ_EST_FFO_SEQ_GROWTH_Q" hidden="1">"c1773"</definedName>
    <definedName name="IQ_EST_FFO_SEQ_GROWTH_Q_REUT" hidden="1">"c3877"</definedName>
    <definedName name="IQ_EST_FFO_SHARE_DIFF" hidden="1">"c4444"</definedName>
    <definedName name="IQ_EST_FFO_SHARE_GROWTH_1YR" hidden="1">"c4425"</definedName>
    <definedName name="IQ_EST_FFO_SHARE_GROWTH_2YR" hidden="1">"c4426"</definedName>
    <definedName name="IQ_EST_FFO_SHARE_GROWTH_Q_1YR" hidden="1">"c4427"</definedName>
    <definedName name="IQ_EST_FFO_SHARE_SEQ_GROWTH_Q" hidden="1">"c4428"</definedName>
    <definedName name="IQ_EST_FFO_SHARE_SURPRISE_PERCENT" hidden="1">"c4453"</definedName>
    <definedName name="IQ_EST_FFO_SURPRISE_PERCENT" hidden="1">"c1870"</definedName>
    <definedName name="IQ_EST_FFO_SURPRISE_PERCENT_REUT" hidden="1">"c3891"</definedName>
    <definedName name="IQ_EST_FOOTNOTE" hidden="1">"c4540"</definedName>
    <definedName name="IQ_EST_FOOTNOTE_REUT" hidden="1">"c5478"</definedName>
    <definedName name="IQ_EST_MAINT_CAPEX_DIFF" hidden="1">"c4456"</definedName>
    <definedName name="IQ_EST_MAINT_CAPEX_GROWTH_1YR" hidden="1">"c4429"</definedName>
    <definedName name="IQ_EST_MAINT_CAPEX_GROWTH_2YR" hidden="1">"c4430"</definedName>
    <definedName name="IQ_EST_MAINT_CAPEX_GROWTH_Q_1YR" hidden="1">"c4431"</definedName>
    <definedName name="IQ_EST_MAINT_CAPEX_SEQ_GROWTH_Q" hidden="1">"c4432"</definedName>
    <definedName name="IQ_EST_MAINT_CAPEX_SURPRISE_PERCENT" hidden="1">"c4465"</definedName>
    <definedName name="IQ_EST_NAV_DIFF" hidden="1">"c1895"</definedName>
    <definedName name="IQ_EST_NAV_SURPRISE_PERCENT" hidden="1">"c1896"</definedName>
    <definedName name="IQ_EST_NET_DEBT_DIFF" hidden="1">"c4466"</definedName>
    <definedName name="IQ_EST_NET_DEBT_SURPRISE_PERCENT" hidden="1">"c4468"</definedName>
    <definedName name="IQ_EST_NI_DIFF" hidden="1">"c1885"</definedName>
    <definedName name="IQ_EST_NI_DIFF_REUT" hidden="1">"c5423"</definedName>
    <definedName name="IQ_EST_NI_GW_DIFF" hidden="1">"c1887"</definedName>
    <definedName name="IQ_EST_NI_GW_DIFF_REUT" hidden="1">"c5425"</definedName>
    <definedName name="IQ_EST_NI_GW_SURPRISE_PERCENT" hidden="1">"c1888"</definedName>
    <definedName name="IQ_EST_NI_GW_SURPRISE_PERCENT_REUT" hidden="1">"c5426"</definedName>
    <definedName name="IQ_EST_NI_REPORT_DIFF" hidden="1">"c1889"</definedName>
    <definedName name="IQ_EST_NI_REPORT_DIFF_REUT" hidden="1">"c5427"</definedName>
    <definedName name="IQ_EST_NI_REPORT_SURPRISE_PERCENT" hidden="1">"c1890"</definedName>
    <definedName name="IQ_EST_NI_REPORT_SURPRISE_PERCENT_REUT" hidden="1">"c5428"</definedName>
    <definedName name="IQ_EST_NI_SBC_DIFF" hidden="1">"c4472"</definedName>
    <definedName name="IQ_EST_NI_SBC_GW_DIFF" hidden="1">"c4476"</definedName>
    <definedName name="IQ_EST_NI_SBC_GW_SURPRISE_PERCENT" hidden="1">"c4485"</definedName>
    <definedName name="IQ_EST_NI_SBC_SURPRISE_PERCENT" hidden="1">"c4491"</definedName>
    <definedName name="IQ_EST_NI_SURPRISE_PERCENT" hidden="1">"c1886"</definedName>
    <definedName name="IQ_EST_NI_SURPRISE_PERCENT_REUT" hidden="1">"c5424"</definedName>
    <definedName name="IQ_EST_NUM_BUY" hidden="1">"c1759"</definedName>
    <definedName name="IQ_EST_NUM_BUY_REUT" hidden="1">"c3869"</definedName>
    <definedName name="IQ_EST_NUM_HOLD" hidden="1">"c1761"</definedName>
    <definedName name="IQ_EST_NUM_HOLD_REUT" hidden="1">"c3871"</definedName>
    <definedName name="IQ_EST_NUM_NO_OPINION" hidden="1">"c1758"</definedName>
    <definedName name="IQ_EST_NUM_NO_OPINION_REUT" hidden="1">"c3868"</definedName>
    <definedName name="IQ_EST_NUM_OUTPERFORM" hidden="1">"c1760"</definedName>
    <definedName name="IQ_EST_NUM_OUTPERFORM_REUT" hidden="1">"c3870"</definedName>
    <definedName name="IQ_EST_NUM_SELL" hidden="1">"c1763"</definedName>
    <definedName name="IQ_EST_NUM_SELL_REUT" hidden="1">"c3873"</definedName>
    <definedName name="IQ_EST_NUM_UNDERPERFORM" hidden="1">"c1762"</definedName>
    <definedName name="IQ_EST_NUM_UNDERPERFORM_REUT" hidden="1">"c3872"</definedName>
    <definedName name="IQ_EST_OPER_INC_DIFF" hidden="1">"c1877"</definedName>
    <definedName name="IQ_EST_OPER_INC_DIFF_REUT" hidden="1">"c5415"</definedName>
    <definedName name="IQ_EST_OPER_INC_SURPRISE_PERCENT" hidden="1">"c1878"</definedName>
    <definedName name="IQ_EST_OPER_INC_SURPRISE_PERCENT_REUT" hidden="1">"c5416"</definedName>
    <definedName name="IQ_EST_PRE_TAX_DIFF" hidden="1">"c1879"</definedName>
    <definedName name="IQ_EST_PRE_TAX_DIFF_REUT" hidden="1">"c5417"</definedName>
    <definedName name="IQ_EST_PRE_TAX_GW_DIFF" hidden="1">"c1881"</definedName>
    <definedName name="IQ_EST_PRE_TAX_GW_DIFF_REUT" hidden="1">"c5419"</definedName>
    <definedName name="IQ_EST_PRE_TAX_GW_SURPRISE_PERCENT" hidden="1">"c1882"</definedName>
    <definedName name="IQ_EST_PRE_TAX_GW_SURPRISE_PERCENT_REUT" hidden="1">"c5420"</definedName>
    <definedName name="IQ_EST_PRE_TAX_REPORT_DIFF" hidden="1">"c1883"</definedName>
    <definedName name="IQ_EST_PRE_TAX_REPORT_DIFF_REUT" hidden="1">"c5421"</definedName>
    <definedName name="IQ_EST_PRE_TAX_REPORT_SURPRISE_PERCENT" hidden="1">"c1884"</definedName>
    <definedName name="IQ_EST_PRE_TAX_REPORT_SURPRISE_PERCENT_REUT" hidden="1">"c5422"</definedName>
    <definedName name="IQ_EST_PRE_TAX_SURPRISE_PERCENT" hidden="1">"c1880"</definedName>
    <definedName name="IQ_EST_PRE_TAX_SURPRISE_PERCENT_REUT" hidden="1">"c5418"</definedName>
    <definedName name="IQ_EST_RECURRING_PROFIT_SHARE_DIFF" hidden="1">"c4505"</definedName>
    <definedName name="IQ_EST_RECURRING_PROFIT_SHARE_SURPRISE_PERCENT" hidden="1">"c4515"</definedName>
    <definedName name="IQ_EST_REV_DIFF" hidden="1">"c1865"</definedName>
    <definedName name="IQ_EST_REV_DIFF_REUT" hidden="1">"c3886"</definedName>
    <definedName name="IQ_EST_REV_GROWTH_1YR" hidden="1">"c1638"</definedName>
    <definedName name="IQ_EST_REV_GROWTH_1YR_REUT" hidden="1">"c3860"</definedName>
    <definedName name="IQ_EST_REV_GROWTH_2YR" hidden="1">"c1639"</definedName>
    <definedName name="IQ_EST_REV_GROWTH_2YR_REUT" hidden="1">"c3861"</definedName>
    <definedName name="IQ_EST_REV_GROWTH_Q_1YR" hidden="1">"c1640"</definedName>
    <definedName name="IQ_EST_REV_GROWTH_Q_1YR_REUT" hidden="1">"c3862"</definedName>
    <definedName name="IQ_EST_REV_SEQ_GROWTH_Q" hidden="1">"c1765"</definedName>
    <definedName name="IQ_EST_REV_SEQ_GROWTH_Q_REUT" hidden="1">"c3863"</definedName>
    <definedName name="IQ_EST_REV_SURPRISE_PERCENT" hidden="1">"c1866"</definedName>
    <definedName name="IQ_EST_REV_SURPRISE_PERCENT_REUT" hidden="1">"c3887"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CT_OR_EST" hidden="1">"c2216"</definedName>
    <definedName name="IQ_FFO_ADJ_ACT_OR_EST" hidden="1">"c4435"</definedName>
    <definedName name="IQ_FFO_ADJ_EST" hidden="1">"c4434"</definedName>
    <definedName name="IQ_FFO_ADJ_GUIDANCE" hidden="1">"c4436"</definedName>
    <definedName name="IQ_FFO_ADJ_HIGH_EST" hidden="1">"c4437"</definedName>
    <definedName name="IQ_FFO_ADJ_HIGH_GUIDANCE" hidden="1">"c4202"</definedName>
    <definedName name="IQ_FFO_ADJ_LOW_EST" hidden="1">"c4438"</definedName>
    <definedName name="IQ_FFO_ADJ_LOW_GUIDANCE" hidden="1">"c4242"</definedName>
    <definedName name="IQ_FFO_ADJ_MEDIAN_EST" hidden="1">"c4439"</definedName>
    <definedName name="IQ_FFO_ADJ_NUM_EST" hidden="1">"c4440"</definedName>
    <definedName name="IQ_FFO_ADJ_STDDEV_EST" hidden="1">"c4441"</definedName>
    <definedName name="IQ_FFO_EST" hidden="1">"c418"</definedName>
    <definedName name="IQ_FFO_EST_REUT" hidden="1">"c3837"</definedName>
    <definedName name="IQ_FFO_GUIDANCE" hidden="1">"c4443"</definedName>
    <definedName name="IQ_FFO_HIGH_EST" hidden="1">"c419"</definedName>
    <definedName name="IQ_FFO_HIGH_EST_REUT" hidden="1">"c3839"</definedName>
    <definedName name="IQ_FFO_HIGH_GUIDANCE" hidden="1">"c4184"</definedName>
    <definedName name="IQ_FFO_LOW_EST" hidden="1">"c420"</definedName>
    <definedName name="IQ_FFO_LOW_EST_REUT" hidden="1">"c3840"</definedName>
    <definedName name="IQ_FFO_LOW_GUIDANCE" hidden="1">"c4224"</definedName>
    <definedName name="IQ_FFO_MEDIAN_EST" hidden="1">"c1665"</definedName>
    <definedName name="IQ_FFO_MEDIAN_EST_REUT" hidden="1">"c3838"</definedName>
    <definedName name="IQ_FFO_NUM_EST" hidden="1">"c421"</definedName>
    <definedName name="IQ_FFO_NUM_EST_REUT" hidden="1">"c3841"</definedName>
    <definedName name="IQ_FFO_PAYOUT_RATIO" hidden="1">"c3492"</definedName>
    <definedName name="IQ_FFO_SHARE_ACT_OR_EST" hidden="1">"c4446"</definedName>
    <definedName name="IQ_FFO_SHARE_EST" hidden="1">"c4445"</definedName>
    <definedName name="IQ_FFO_SHARE_GUIDANCE" hidden="1">"c4447"</definedName>
    <definedName name="IQ_FFO_SHARE_HIGH_EST" hidden="1">"c4448"</definedName>
    <definedName name="IQ_FFO_SHARE_HIGH_GUIDANCE" hidden="1">"c4203"</definedName>
    <definedName name="IQ_FFO_SHARE_LOW_EST" hidden="1">"c4449"</definedName>
    <definedName name="IQ_FFO_SHARE_LOW_GUIDANCE" hidden="1">"c4243"</definedName>
    <definedName name="IQ_FFO_SHARE_MEDIAN_EST" hidden="1">"c4450"</definedName>
    <definedName name="IQ_FFO_SHARE_NUM_EST" hidden="1">"c4451"</definedName>
    <definedName name="IQ_FFO_SHARE_STDDEV_EST" hidden="1">"c4452"</definedName>
    <definedName name="IQ_FFO_STDDEV_EST" hidden="1">"c422"</definedName>
    <definedName name="IQ_FFO_STDDEV_EST_REUT" hidden="1">"c3842"</definedName>
    <definedName name="IQ_FH" hidden="1">100000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MARGIN_ACT_OR_EST" hidden="1">"c5554"</definedName>
    <definedName name="IQ_GROSS_MARGIN_EST" hidden="1">"c5547"</definedName>
    <definedName name="IQ_GROSS_MARGIN_HIGH_EST" hidden="1">"c5549"</definedName>
    <definedName name="IQ_GROSS_MARGIN_LOW_EST" hidden="1">"c5550"</definedName>
    <definedName name="IQ_GROSS_MARGIN_MEDIAN_EST" hidden="1">"c5548"</definedName>
    <definedName name="IQ_GROSS_MARGIN_NUM_EST" hidden="1">"c5551"</definedName>
    <definedName name="IQ_GROSS_MARGIN_STDDEV_EST" hidden="1">"c5552"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_TARGET_PRICE" hidden="1">"c1651"</definedName>
    <definedName name="IQ_HIGH_TARGET_PRICE_REUT" hidden="1">"c5317"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CAPEX_ACT_OR_EST" hidden="1">"c4458"</definedName>
    <definedName name="IQ_MAINT_CAPEX_EST" hidden="1">"c4457"</definedName>
    <definedName name="IQ_MAINT_CAPEX_GUIDANCE" hidden="1">"c4459"</definedName>
    <definedName name="IQ_MAINT_CAPEX_HIGH_EST" hidden="1">"c4460"</definedName>
    <definedName name="IQ_MAINT_CAPEX_HIGH_GUIDANCE" hidden="1">"c4197"</definedName>
    <definedName name="IQ_MAINT_CAPEX_LOW_EST" hidden="1">"c4461"</definedName>
    <definedName name="IQ_MAINT_CAPEX_LOW_GUIDANCE" hidden="1">"c4237"</definedName>
    <definedName name="IQ_MAINT_CAPEX_MEDIAN_EST" hidden="1">"c4462"</definedName>
    <definedName name="IQ_MAINT_CAPEX_NUM_EST" hidden="1">"c4463"</definedName>
    <definedName name="IQ_MAINT_CAPEX_STDDEV_EST" hidden="1">"c4464"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MTD" hidden="1">800000</definedName>
    <definedName name="IQ_NAMES_REVISION_DATE_" hidden="1">41035.7158217593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HARE_ACT_OR_EST" hidden="1">"c5615"</definedName>
    <definedName name="IQ_NAV_SHARE_ACT_OR_EST_REUT" hidden="1">"c5623"</definedName>
    <definedName name="IQ_NAV_SHARE_EST" hidden="1">"c5609"</definedName>
    <definedName name="IQ_NAV_SHARE_EST_REUT" hidden="1">"c5617"</definedName>
    <definedName name="IQ_NAV_SHARE_HIGH_EST" hidden="1">"c5612"</definedName>
    <definedName name="IQ_NAV_SHARE_HIGH_EST_REUT" hidden="1">"c5620"</definedName>
    <definedName name="IQ_NAV_SHARE_LOW_EST" hidden="1">"c5613"</definedName>
    <definedName name="IQ_NAV_SHARE_LOW_EST_REUT" hidden="1">"c5621"</definedName>
    <definedName name="IQ_NAV_SHARE_MEDIAN_EST" hidden="1">"c5610"</definedName>
    <definedName name="IQ_NAV_SHARE_MEDIAN_EST_REUT" hidden="1">"c5618"</definedName>
    <definedName name="IQ_NAV_SHARE_NUM_EST" hidden="1">"c5614"</definedName>
    <definedName name="IQ_NAV_SHARE_NUM_EST_REUT" hidden="1">"c5622"</definedName>
    <definedName name="IQ_NAV_SHARE_STDDEV_EST" hidden="1">"c5611"</definedName>
    <definedName name="IQ_NAV_SHARE_STDDEV_EST_REUT" hidden="1">"c5619"</definedName>
    <definedName name="IQ_NAV_STDDEV_EST" hidden="1">"c1756"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REUT" hidden="1">"c5473"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REUT" hidden="1">"c3976"</definedName>
    <definedName name="IQ_NET_DEBT_GUIDANCE" hidden="1">"c4467"</definedName>
    <definedName name="IQ_NET_DEBT_HIGH_EST" hidden="1">"c3518"</definedName>
    <definedName name="IQ_NET_DEBT_HIGH_EST_REUT" hidden="1">"c3978"</definedName>
    <definedName name="IQ_NET_DEBT_HIGH_GUIDANCE" hidden="1">"c4181"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REUT" hidden="1">"c3979"</definedName>
    <definedName name="IQ_NET_DEBT_LOW_GUIDANCE" hidden="1">"c4221"</definedName>
    <definedName name="IQ_NET_DEBT_MEDIAN_EST" hidden="1">"c3520"</definedName>
    <definedName name="IQ_NET_DEBT_MEDIAN_EST_REUT" hidden="1">"c3977"</definedName>
    <definedName name="IQ_NET_DEBT_NUM_EST" hidden="1">"c3515"</definedName>
    <definedName name="IQ_NET_DEBT_NUM_EST_REUT" hidden="1">"c3980"</definedName>
    <definedName name="IQ_NET_DEBT_STDDEV_EST" hidden="1">"c3516"</definedName>
    <definedName name="IQ_NET_DEBT_STDDEV_EST_REUT" hidden="1">"c3981"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CT_OR_EST" hidden="1">"c2222"</definedName>
    <definedName name="IQ_NI_ACT_OR_EST_REUT" hidden="1">"c5468"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EST_REUT" hidden="1">"c5368"</definedName>
    <definedName name="IQ_NI_GAAP_GUIDANCE" hidden="1">"c4470"</definedName>
    <definedName name="IQ_NI_GAAP_HIGH_GUIDANCE" hidden="1">"c4177"</definedName>
    <definedName name="IQ_NI_GAAP_LOW_GUIDANCE" hidden="1">"c4217"</definedName>
    <definedName name="IQ_NI_GUIDANCE" hidden="1">"c4469"</definedName>
    <definedName name="IQ_NI_GW_EST" hidden="1">"c1723"</definedName>
    <definedName name="IQ_NI_GW_EST_REUT" hidden="1">"c5375"</definedName>
    <definedName name="IQ_NI_GW_GUIDANCE" hidden="1">"c4471"</definedName>
    <definedName name="IQ_NI_GW_HIGH_EST" hidden="1">"c1725"</definedName>
    <definedName name="IQ_NI_GW_HIGH_EST_REUT" hidden="1">"c5377"</definedName>
    <definedName name="IQ_NI_GW_HIGH_GUIDANCE" hidden="1">"c4178"</definedName>
    <definedName name="IQ_NI_GW_LOW_EST" hidden="1">"c1726"</definedName>
    <definedName name="IQ_NI_GW_LOW_EST_REUT" hidden="1">"c5378"</definedName>
    <definedName name="IQ_NI_GW_LOW_GUIDANCE" hidden="1">"c4218"</definedName>
    <definedName name="IQ_NI_GW_MEDIAN_EST" hidden="1">"c1724"</definedName>
    <definedName name="IQ_NI_GW_MEDIAN_EST_REUT" hidden="1">"c5376"</definedName>
    <definedName name="IQ_NI_GW_NUM_EST" hidden="1">"c1727"</definedName>
    <definedName name="IQ_NI_GW_NUM_EST_REUT" hidden="1">"c5379"</definedName>
    <definedName name="IQ_NI_GW_STDDEV_EST" hidden="1">"c1728"</definedName>
    <definedName name="IQ_NI_GW_STDDEV_EST_REUT" hidden="1">"c5380"</definedName>
    <definedName name="IQ_NI_HIGH_EST" hidden="1">"c1718"</definedName>
    <definedName name="IQ_NI_HIGH_EST_REUT" hidden="1">"c5370"</definedName>
    <definedName name="IQ_NI_HIGH_GUIDANCE" hidden="1">"c4176"</definedName>
    <definedName name="IQ_NI_LOW_EST" hidden="1">"c1719"</definedName>
    <definedName name="IQ_NI_LOW_EST_REUT" hidden="1">"c5371"</definedName>
    <definedName name="IQ_NI_LOW_GUIDANCE" hidden="1">"c4216"</definedName>
    <definedName name="IQ_NI_MARGIN" hidden="1">"c794"</definedName>
    <definedName name="IQ_NI_MEDIAN_EST" hidden="1">"c1717"</definedName>
    <definedName name="IQ_NI_MEDIAN_EST_REUT" hidden="1">"c5369"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REUT" hidden="1">"c5372"</definedName>
    <definedName name="IQ_NI_REPORTED_EST" hidden="1">"c1730"</definedName>
    <definedName name="IQ_NI_REPORTED_EST_REUT" hidden="1">"c5382"</definedName>
    <definedName name="IQ_NI_REPORTED_HIGH_EST" hidden="1">"c1732"</definedName>
    <definedName name="IQ_NI_REPORTED_HIGH_EST_REUT" hidden="1">"c5384"</definedName>
    <definedName name="IQ_NI_REPORTED_LOW_EST" hidden="1">"c1733"</definedName>
    <definedName name="IQ_NI_REPORTED_LOW_EST_REUT" hidden="1">"c5385"</definedName>
    <definedName name="IQ_NI_REPORTED_MEDIAN_EST" hidden="1">"c1731"</definedName>
    <definedName name="IQ_NI_REPORTED_MEDIAN_EST_REUT" hidden="1">"c5383"</definedName>
    <definedName name="IQ_NI_REPORTED_NUM_EST" hidden="1">"c1734"</definedName>
    <definedName name="IQ_NI_REPORTED_NUM_EST_REUT" hidden="1">"c5386"</definedName>
    <definedName name="IQ_NI_REPORTED_STDDEV_EST" hidden="1">"c1735"</definedName>
    <definedName name="IQ_NI_REPORTED_STDDEV_EST_REUT" hidden="1">"c5387"</definedName>
    <definedName name="IQ_NI_SBC_ACT_OR_EST" hidden="1">"c4474"</definedName>
    <definedName name="IQ_NI_SBC_EST" hidden="1">"c4473"</definedName>
    <definedName name="IQ_NI_SBC_GUIDANCE" hidden="1">"c4475"</definedName>
    <definedName name="IQ_NI_SBC_GW_ACT_OR_EST" hidden="1">"c4478"</definedName>
    <definedName name="IQ_NI_SBC_GW_EST" hidden="1">"c4477"</definedName>
    <definedName name="IQ_NI_SBC_GW_GUIDANCE" hidden="1">"c4479"</definedName>
    <definedName name="IQ_NI_SBC_GW_HIGH_EST" hidden="1">"c4480"</definedName>
    <definedName name="IQ_NI_SBC_GW_HIGH_GUIDANCE" hidden="1">"c4187"</definedName>
    <definedName name="IQ_NI_SBC_GW_LOW_EST" hidden="1">"c4481"</definedName>
    <definedName name="IQ_NI_SBC_GW_LOW_GUIDANCE" hidden="1">"c4227"</definedName>
    <definedName name="IQ_NI_SBC_GW_MEDIAN_EST" hidden="1">"c4482"</definedName>
    <definedName name="IQ_NI_SBC_GW_NUM_EST" hidden="1">"c4483"</definedName>
    <definedName name="IQ_NI_SBC_GW_STDDEV_EST" hidden="1">"c4484"</definedName>
    <definedName name="IQ_NI_SBC_HIGH_EST" hidden="1">"c4486"</definedName>
    <definedName name="IQ_NI_SBC_HIGH_GUIDANCE" hidden="1">"c4186"</definedName>
    <definedName name="IQ_NI_SBC_LOW_EST" hidden="1">"c4487"</definedName>
    <definedName name="IQ_NI_SBC_LOW_GUIDANCE" hidden="1">"c4226"</definedName>
    <definedName name="IQ_NI_SBC_MEDIAN_EST" hidden="1">"c4488"</definedName>
    <definedName name="IQ_NI_SBC_NUM_EST" hidden="1">"c4489"</definedName>
    <definedName name="IQ_NI_SBC_STDDEV_EST" hidden="1">"c4490"</definedName>
    <definedName name="IQ_NI_SFAS" hidden="1">"c795"</definedName>
    <definedName name="IQ_NI_STDDEV_EST" hidden="1">"c1721"</definedName>
    <definedName name="IQ_NI_STDDEV_EST_REUT" hidden="1">"c5373"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_EPS_ACT_OR_EST" hidden="1">"c2249"</definedName>
    <definedName name="IQ_NORM_EPS_ACT_OR_EST_REUT" hidden="1">"c5472"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ACT_OR_EST" hidden="1">"c2220"</definedName>
    <definedName name="IQ_OPER_INC_ACT_OR_EST_REUT" hidden="1">"c5466"</definedName>
    <definedName name="IQ_OPER_INC_BR" hidden="1">"c850"</definedName>
    <definedName name="IQ_OPER_INC_EST" hidden="1">"c1688"</definedName>
    <definedName name="IQ_OPER_INC_EST_REUT" hidden="1">"c5340"</definedName>
    <definedName name="IQ_OPER_INC_FIN" hidden="1">"c851"</definedName>
    <definedName name="IQ_OPER_INC_HIGH_EST" hidden="1">"c1690"</definedName>
    <definedName name="IQ_OPER_INC_HIGH_EST_REUT" hidden="1">"c5342"</definedName>
    <definedName name="IQ_OPER_INC_INS" hidden="1">"c852"</definedName>
    <definedName name="IQ_OPER_INC_LOW_EST" hidden="1">"c1691"</definedName>
    <definedName name="IQ_OPER_INC_LOW_EST_REUT" hidden="1">"c5343"</definedName>
    <definedName name="IQ_OPER_INC_MARGIN" hidden="1">"c1448"</definedName>
    <definedName name="IQ_OPER_INC_MEDIAN_EST" hidden="1">"c1689"</definedName>
    <definedName name="IQ_OPER_INC_MEDIAN_EST_REUT" hidden="1">"c5341"</definedName>
    <definedName name="IQ_OPER_INC_NUM_EST" hidden="1">"c1692"</definedName>
    <definedName name="IQ_OPER_INC_NUM_EST_REUT" hidden="1">"c5344"</definedName>
    <definedName name="IQ_OPER_INC_REIT" hidden="1">"c853"</definedName>
    <definedName name="IQ_OPER_INC_STDDEV_EST" hidden="1">"c1693"</definedName>
    <definedName name="IQ_OPER_INC_STDDEV_EST_REUT" hidden="1">"c5345"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MORT_BR" hidden="1">"c5566"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REUT" hidden="1">"c3959"</definedName>
    <definedName name="IQ_PERCENT_CHANGE_EST_5YR_GROWTH_RATE_18MONTHS" hidden="1">"c1853"</definedName>
    <definedName name="IQ_PERCENT_CHANGE_EST_5YR_GROWTH_RATE_18MONTHS_REUT" hidden="1">"c3960"</definedName>
    <definedName name="IQ_PERCENT_CHANGE_EST_5YR_GROWTH_RATE_3MONTHS" hidden="1">"c1849"</definedName>
    <definedName name="IQ_PERCENT_CHANGE_EST_5YR_GROWTH_RATE_3MONTHS_REUT" hidden="1">"c3956"</definedName>
    <definedName name="IQ_PERCENT_CHANGE_EST_5YR_GROWTH_RATE_6MONTHS" hidden="1">"c1850"</definedName>
    <definedName name="IQ_PERCENT_CHANGE_EST_5YR_GROWTH_RATE_6MONTHS_REUT" hidden="1">"c3957"</definedName>
    <definedName name="IQ_PERCENT_CHANGE_EST_5YR_GROWTH_RATE_9MONTHS" hidden="1">"c1851"</definedName>
    <definedName name="IQ_PERCENT_CHANGE_EST_5YR_GROWTH_RATE_9MONTHS_REUT" hidden="1">"c3958"</definedName>
    <definedName name="IQ_PERCENT_CHANGE_EST_5YR_GROWTH_RATE_DAY" hidden="1">"c1846"</definedName>
    <definedName name="IQ_PERCENT_CHANGE_EST_5YR_GROWTH_RATE_DAY_REUT" hidden="1">"c3954"</definedName>
    <definedName name="IQ_PERCENT_CHANGE_EST_5YR_GROWTH_RATE_MONTH" hidden="1">"c1848"</definedName>
    <definedName name="IQ_PERCENT_CHANGE_EST_5YR_GROWTH_RATE_MONTH_REUT" hidden="1">"c3955"</definedName>
    <definedName name="IQ_PERCENT_CHANGE_EST_5YR_GROWTH_RATE_WEEK" hidden="1">"c1847"</definedName>
    <definedName name="IQ_PERCENT_CHANGE_EST_5YR_GROWTH_RATE_WEEK_REUT" hidden="1">"c5435"</definedName>
    <definedName name="IQ_PERCENT_CHANGE_EST_CFPS_12MONTHS" hidden="1">"c1812"</definedName>
    <definedName name="IQ_PERCENT_CHANGE_EST_CFPS_12MONTHS_REUT" hidden="1">"c3924"</definedName>
    <definedName name="IQ_PERCENT_CHANGE_EST_CFPS_18MONTHS" hidden="1">"c1813"</definedName>
    <definedName name="IQ_PERCENT_CHANGE_EST_CFPS_18MONTHS_REUT" hidden="1">"c3925"</definedName>
    <definedName name="IQ_PERCENT_CHANGE_EST_CFPS_3MONTHS" hidden="1">"c1809"</definedName>
    <definedName name="IQ_PERCENT_CHANGE_EST_CFPS_3MONTHS_REUT" hidden="1">"c3921"</definedName>
    <definedName name="IQ_PERCENT_CHANGE_EST_CFPS_6MONTHS" hidden="1">"c1810"</definedName>
    <definedName name="IQ_PERCENT_CHANGE_EST_CFPS_6MONTHS_REUT" hidden="1">"c3922"</definedName>
    <definedName name="IQ_PERCENT_CHANGE_EST_CFPS_9MONTHS" hidden="1">"c1811"</definedName>
    <definedName name="IQ_PERCENT_CHANGE_EST_CFPS_9MONTHS_REUT" hidden="1">"c3923"</definedName>
    <definedName name="IQ_PERCENT_CHANGE_EST_CFPS_DAY" hidden="1">"c1806"</definedName>
    <definedName name="IQ_PERCENT_CHANGE_EST_CFPS_DAY_REUT" hidden="1">"c3919"</definedName>
    <definedName name="IQ_PERCENT_CHANGE_EST_CFPS_MONTH" hidden="1">"c1808"</definedName>
    <definedName name="IQ_PERCENT_CHANGE_EST_CFPS_MONTH_REUT" hidden="1">"c3920"</definedName>
    <definedName name="IQ_PERCENT_CHANGE_EST_CFPS_WEEK" hidden="1">"c1807"</definedName>
    <definedName name="IQ_PERCENT_CHANGE_EST_CFPS_WEEK_REUT" hidden="1">"c3962"</definedName>
    <definedName name="IQ_PERCENT_CHANGE_EST_DPS_12MONTHS" hidden="1">"c1820"</definedName>
    <definedName name="IQ_PERCENT_CHANGE_EST_DPS_12MONTHS_REUT" hidden="1">"c3931"</definedName>
    <definedName name="IQ_PERCENT_CHANGE_EST_DPS_18MONTHS" hidden="1">"c1821"</definedName>
    <definedName name="IQ_PERCENT_CHANGE_EST_DPS_18MONTHS_REUT" hidden="1">"c3932"</definedName>
    <definedName name="IQ_PERCENT_CHANGE_EST_DPS_3MONTHS" hidden="1">"c1817"</definedName>
    <definedName name="IQ_PERCENT_CHANGE_EST_DPS_3MONTHS_REUT" hidden="1">"c3928"</definedName>
    <definedName name="IQ_PERCENT_CHANGE_EST_DPS_6MONTHS" hidden="1">"c1818"</definedName>
    <definedName name="IQ_PERCENT_CHANGE_EST_DPS_6MONTHS_REUT" hidden="1">"c3929"</definedName>
    <definedName name="IQ_PERCENT_CHANGE_EST_DPS_9MONTHS" hidden="1">"c1819"</definedName>
    <definedName name="IQ_PERCENT_CHANGE_EST_DPS_9MONTHS_REUT" hidden="1">"c3930"</definedName>
    <definedName name="IQ_PERCENT_CHANGE_EST_DPS_DAY" hidden="1">"c1814"</definedName>
    <definedName name="IQ_PERCENT_CHANGE_EST_DPS_DAY_REUT" hidden="1">"c3926"</definedName>
    <definedName name="IQ_PERCENT_CHANGE_EST_DPS_MONTH" hidden="1">"c1816"</definedName>
    <definedName name="IQ_PERCENT_CHANGE_EST_DPS_MONTH_REUT" hidden="1">"c3927"</definedName>
    <definedName name="IQ_PERCENT_CHANGE_EST_DPS_WEEK" hidden="1">"c1815"</definedName>
    <definedName name="IQ_PERCENT_CHANGE_EST_DPS_WEEK_REUT" hidden="1">"c3963"</definedName>
    <definedName name="IQ_PERCENT_CHANGE_EST_EBITDA_12MONTHS" hidden="1">"c1804"</definedName>
    <definedName name="IQ_PERCENT_CHANGE_EST_EBITDA_12MONTHS_REUT" hidden="1">"c3917"</definedName>
    <definedName name="IQ_PERCENT_CHANGE_EST_EBITDA_18MONTHS" hidden="1">"c1805"</definedName>
    <definedName name="IQ_PERCENT_CHANGE_EST_EBITDA_18MONTHS_REUT" hidden="1">"c3918"</definedName>
    <definedName name="IQ_PERCENT_CHANGE_EST_EBITDA_3MONTHS" hidden="1">"c1801"</definedName>
    <definedName name="IQ_PERCENT_CHANGE_EST_EBITDA_3MONTHS_REUT" hidden="1">"c3914"</definedName>
    <definedName name="IQ_PERCENT_CHANGE_EST_EBITDA_6MONTHS" hidden="1">"c1802"</definedName>
    <definedName name="IQ_PERCENT_CHANGE_EST_EBITDA_6MONTHS_REUT" hidden="1">"c3915"</definedName>
    <definedName name="IQ_PERCENT_CHANGE_EST_EBITDA_9MONTHS" hidden="1">"c1803"</definedName>
    <definedName name="IQ_PERCENT_CHANGE_EST_EBITDA_9MONTHS_REUT" hidden="1">"c3916"</definedName>
    <definedName name="IQ_PERCENT_CHANGE_EST_EBITDA_DAY" hidden="1">"c1798"</definedName>
    <definedName name="IQ_PERCENT_CHANGE_EST_EBITDA_DAY_REUT" hidden="1">"c3912"</definedName>
    <definedName name="IQ_PERCENT_CHANGE_EST_EBITDA_MONTH" hidden="1">"c1800"</definedName>
    <definedName name="IQ_PERCENT_CHANGE_EST_EBITDA_MONTH_REUT" hidden="1">"c3913"</definedName>
    <definedName name="IQ_PERCENT_CHANGE_EST_EBITDA_WEEK" hidden="1">"c1799"</definedName>
    <definedName name="IQ_PERCENT_CHANGE_EST_EBITDA_WEEK_REUT" hidden="1">"c3961"</definedName>
    <definedName name="IQ_PERCENT_CHANGE_EST_EPS_12MONTHS" hidden="1">"c1788"</definedName>
    <definedName name="IQ_PERCENT_CHANGE_EST_EPS_12MONTHS_REUT" hidden="1">"c3902"</definedName>
    <definedName name="IQ_PERCENT_CHANGE_EST_EPS_18MONTHS" hidden="1">"c1789"</definedName>
    <definedName name="IQ_PERCENT_CHANGE_EST_EPS_18MONTHS_REUT" hidden="1">"c3903"</definedName>
    <definedName name="IQ_PERCENT_CHANGE_EST_EPS_3MONTHS" hidden="1">"c1785"</definedName>
    <definedName name="IQ_PERCENT_CHANGE_EST_EPS_3MONTHS_REUT" hidden="1">"c3899"</definedName>
    <definedName name="IQ_PERCENT_CHANGE_EST_EPS_6MONTHS" hidden="1">"c1786"</definedName>
    <definedName name="IQ_PERCENT_CHANGE_EST_EPS_6MONTHS_REUT" hidden="1">"c3900"</definedName>
    <definedName name="IQ_PERCENT_CHANGE_EST_EPS_9MONTHS" hidden="1">"c1787"</definedName>
    <definedName name="IQ_PERCENT_CHANGE_EST_EPS_9MONTHS_REUT" hidden="1">"c3901"</definedName>
    <definedName name="IQ_PERCENT_CHANGE_EST_EPS_DAY" hidden="1">"c1782"</definedName>
    <definedName name="IQ_PERCENT_CHANGE_EST_EPS_DAY_REUT" hidden="1">"c3896"</definedName>
    <definedName name="IQ_PERCENT_CHANGE_EST_EPS_MONTH" hidden="1">"c1784"</definedName>
    <definedName name="IQ_PERCENT_CHANGE_EST_EPS_MONTH_REUT" hidden="1">"c3898"</definedName>
    <definedName name="IQ_PERCENT_CHANGE_EST_EPS_WEEK" hidden="1">"c1783"</definedName>
    <definedName name="IQ_PERCENT_CHANGE_EST_EPS_WEEK_REUT" hidden="1">"c3897"</definedName>
    <definedName name="IQ_PERCENT_CHANGE_EST_FFO_12MONTHS" hidden="1">"c1828"</definedName>
    <definedName name="IQ_PERCENT_CHANGE_EST_FFO_12MONTHS_REUT" hidden="1">"c3938"</definedName>
    <definedName name="IQ_PERCENT_CHANGE_EST_FFO_18MONTHS" hidden="1">"c1829"</definedName>
    <definedName name="IQ_PERCENT_CHANGE_EST_FFO_18MONTHS_REUT" hidden="1">"c3939"</definedName>
    <definedName name="IQ_PERCENT_CHANGE_EST_FFO_3MONTHS" hidden="1">"c1825"</definedName>
    <definedName name="IQ_PERCENT_CHANGE_EST_FFO_3MONTHS_REUT" hidden="1">"c3935"</definedName>
    <definedName name="IQ_PERCENT_CHANGE_EST_FFO_6MONTHS" hidden="1">"c1826"</definedName>
    <definedName name="IQ_PERCENT_CHANGE_EST_FFO_6MONTHS_REUT" hidden="1">"c3936"</definedName>
    <definedName name="IQ_PERCENT_CHANGE_EST_FFO_9MONTHS" hidden="1">"c1827"</definedName>
    <definedName name="IQ_PERCENT_CHANGE_EST_FFO_9MONTHS_REUT" hidden="1">"c3937"</definedName>
    <definedName name="IQ_PERCENT_CHANGE_EST_FFO_DAY" hidden="1">"c1822"</definedName>
    <definedName name="IQ_PERCENT_CHANGE_EST_FFO_DAY_REUT" hidden="1">"c3933"</definedName>
    <definedName name="IQ_PERCENT_CHANGE_EST_FFO_MONTH" hidden="1">"c1824"</definedName>
    <definedName name="IQ_PERCENT_CHANGE_EST_FFO_MONTH_REUT" hidden="1">"c3934"</definedName>
    <definedName name="IQ_PERCENT_CHANGE_EST_FFO_WEEK" hidden="1">"c1823"</definedName>
    <definedName name="IQ_PERCENT_CHANGE_EST_FFO_WEEK_REUT" hidden="1">"c3964"</definedName>
    <definedName name="IQ_PERCENT_CHANGE_EST_PRICE_TARGET_12MONTHS" hidden="1">"c1844"</definedName>
    <definedName name="IQ_PERCENT_CHANGE_EST_PRICE_TARGET_12MONTHS_REUT" hidden="1">"c3952"</definedName>
    <definedName name="IQ_PERCENT_CHANGE_EST_PRICE_TARGET_18MONTHS" hidden="1">"c1845"</definedName>
    <definedName name="IQ_PERCENT_CHANGE_EST_PRICE_TARGET_18MONTHS_REUT" hidden="1">"c3953"</definedName>
    <definedName name="IQ_PERCENT_CHANGE_EST_PRICE_TARGET_3MONTHS" hidden="1">"c1841"</definedName>
    <definedName name="IQ_PERCENT_CHANGE_EST_PRICE_TARGET_3MONTHS_REUT" hidden="1">"c3949"</definedName>
    <definedName name="IQ_PERCENT_CHANGE_EST_PRICE_TARGET_6MONTHS" hidden="1">"c1842"</definedName>
    <definedName name="IQ_PERCENT_CHANGE_EST_PRICE_TARGET_6MONTHS_REUT" hidden="1">"c3950"</definedName>
    <definedName name="IQ_PERCENT_CHANGE_EST_PRICE_TARGET_9MONTHS" hidden="1">"c1843"</definedName>
    <definedName name="IQ_PERCENT_CHANGE_EST_PRICE_TARGET_9MONTHS_REUT" hidden="1">"c3951"</definedName>
    <definedName name="IQ_PERCENT_CHANGE_EST_PRICE_TARGET_DAY" hidden="1">"c1838"</definedName>
    <definedName name="IQ_PERCENT_CHANGE_EST_PRICE_TARGET_DAY_REUT" hidden="1">"c3947"</definedName>
    <definedName name="IQ_PERCENT_CHANGE_EST_PRICE_TARGET_MONTH" hidden="1">"c1840"</definedName>
    <definedName name="IQ_PERCENT_CHANGE_EST_PRICE_TARGET_MONTH_REUT" hidden="1">"c3948"</definedName>
    <definedName name="IQ_PERCENT_CHANGE_EST_PRICE_TARGET_WEEK" hidden="1">"c1839"</definedName>
    <definedName name="IQ_PERCENT_CHANGE_EST_PRICE_TARGET_WEEK_REUT" hidden="1">"c3967"</definedName>
    <definedName name="IQ_PERCENT_CHANGE_EST_RECO_12MONTHS" hidden="1">"c1836"</definedName>
    <definedName name="IQ_PERCENT_CHANGE_EST_RECO_12MONTHS_REUT" hidden="1">"c3945"</definedName>
    <definedName name="IQ_PERCENT_CHANGE_EST_RECO_18MONTHS" hidden="1">"c1837"</definedName>
    <definedName name="IQ_PERCENT_CHANGE_EST_RECO_18MONTHS_REUT" hidden="1">"c3946"</definedName>
    <definedName name="IQ_PERCENT_CHANGE_EST_RECO_3MONTHS" hidden="1">"c1833"</definedName>
    <definedName name="IQ_PERCENT_CHANGE_EST_RECO_3MONTHS_REUT" hidden="1">"c3942"</definedName>
    <definedName name="IQ_PERCENT_CHANGE_EST_RECO_6MONTHS" hidden="1">"c1834"</definedName>
    <definedName name="IQ_PERCENT_CHANGE_EST_RECO_6MONTHS_REUT" hidden="1">"c3943"</definedName>
    <definedName name="IQ_PERCENT_CHANGE_EST_RECO_9MONTHS" hidden="1">"c1835"</definedName>
    <definedName name="IQ_PERCENT_CHANGE_EST_RECO_9MONTHS_REUT" hidden="1">"c3944"</definedName>
    <definedName name="IQ_PERCENT_CHANGE_EST_RECO_DAY" hidden="1">"c1830"</definedName>
    <definedName name="IQ_PERCENT_CHANGE_EST_RECO_DAY_REUT" hidden="1">"c3940"</definedName>
    <definedName name="IQ_PERCENT_CHANGE_EST_RECO_MONTH" hidden="1">"c1832"</definedName>
    <definedName name="IQ_PERCENT_CHANGE_EST_RECO_MONTH_REUT" hidden="1">"c3941"</definedName>
    <definedName name="IQ_PERCENT_CHANGE_EST_RECO_WEEK" hidden="1">"c1831"</definedName>
    <definedName name="IQ_PERCENT_CHANGE_EST_RECO_WEEK_REUT" hidden="1">"c3965"</definedName>
    <definedName name="IQ_PERCENT_CHANGE_EST_REV_12MONTHS" hidden="1">"c1796"</definedName>
    <definedName name="IQ_PERCENT_CHANGE_EST_REV_12MONTHS_REUT" hidden="1">"c3910"</definedName>
    <definedName name="IQ_PERCENT_CHANGE_EST_REV_18MONTHS" hidden="1">"c1797"</definedName>
    <definedName name="IQ_PERCENT_CHANGE_EST_REV_18MONTHS_REUT" hidden="1">"c3911"</definedName>
    <definedName name="IQ_PERCENT_CHANGE_EST_REV_3MONTHS" hidden="1">"c1793"</definedName>
    <definedName name="IQ_PERCENT_CHANGE_EST_REV_3MONTHS_REUT" hidden="1">"c3907"</definedName>
    <definedName name="IQ_PERCENT_CHANGE_EST_REV_6MONTHS" hidden="1">"c1794"</definedName>
    <definedName name="IQ_PERCENT_CHANGE_EST_REV_6MONTHS_REUT" hidden="1">"c3908"</definedName>
    <definedName name="IQ_PERCENT_CHANGE_EST_REV_9MONTHS" hidden="1">"c1795"</definedName>
    <definedName name="IQ_PERCENT_CHANGE_EST_REV_9MONTHS_REUT" hidden="1">"c3909"</definedName>
    <definedName name="IQ_PERCENT_CHANGE_EST_REV_DAY" hidden="1">"c1790"</definedName>
    <definedName name="IQ_PERCENT_CHANGE_EST_REV_DAY_REUT" hidden="1">"c3904"</definedName>
    <definedName name="IQ_PERCENT_CHANGE_EST_REV_MONTH" hidden="1">"c1792"</definedName>
    <definedName name="IQ_PERCENT_CHANGE_EST_REV_MONTH_REUT" hidden="1">"c3906"</definedName>
    <definedName name="IQ_PERCENT_CHANGE_EST_REV_WEEK" hidden="1">"c1791"</definedName>
    <definedName name="IQ_PERCENT_CHANGE_EST_REV_WEEK_REUT" hidden="1">"c3905"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REUT" hidden="1">"c3968"</definedName>
    <definedName name="IQ_PRE_OPEN_COST" hidden="1">"c1040"</definedName>
    <definedName name="IQ_PRE_TAX_ACT_OR_EST" hidden="1">"c2221"</definedName>
    <definedName name="IQ_PRE_TAX_ACT_OR_EST_REUT" hidden="1">"c5467"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EST_REUT" hidden="1">"c5354"</definedName>
    <definedName name="IQ_PRETAX_GW_INC_HIGH_EST" hidden="1">"c1704"</definedName>
    <definedName name="IQ_PRETAX_GW_INC_HIGH_EST_REUT" hidden="1">"c5356"</definedName>
    <definedName name="IQ_PRETAX_GW_INC_LOW_EST" hidden="1">"c1705"</definedName>
    <definedName name="IQ_PRETAX_GW_INC_LOW_EST_REUT" hidden="1">"c5357"</definedName>
    <definedName name="IQ_PRETAX_GW_INC_MEDIAN_EST" hidden="1">"c1703"</definedName>
    <definedName name="IQ_PRETAX_GW_INC_MEDIAN_EST_REUT" hidden="1">"c5355"</definedName>
    <definedName name="IQ_PRETAX_GW_INC_NUM_EST" hidden="1">"c1706"</definedName>
    <definedName name="IQ_PRETAX_GW_INC_NUM_EST_REUT" hidden="1">"c5358"</definedName>
    <definedName name="IQ_PRETAX_GW_INC_STDDEV_EST" hidden="1">"c1707"</definedName>
    <definedName name="IQ_PRETAX_GW_INC_STDDEV_EST_REUT" hidden="1">"c5359"</definedName>
    <definedName name="IQ_PRETAX_INC_EST" hidden="1">"c1695"</definedName>
    <definedName name="IQ_PRETAX_INC_EST_REUT" hidden="1">"c5347"</definedName>
    <definedName name="IQ_PRETAX_INC_HIGH_EST" hidden="1">"c1697"</definedName>
    <definedName name="IQ_PRETAX_INC_HIGH_EST_REUT" hidden="1">"c5349"</definedName>
    <definedName name="IQ_PRETAX_INC_LOW_EST" hidden="1">"c1698"</definedName>
    <definedName name="IQ_PRETAX_INC_LOW_EST_REUT" hidden="1">"c5350"</definedName>
    <definedName name="IQ_PRETAX_INC_MEDIAN_EST" hidden="1">"c1696"</definedName>
    <definedName name="IQ_PRETAX_INC_MEDIAN_EST_REUT" hidden="1">"c5348"</definedName>
    <definedName name="IQ_PRETAX_INC_NUM_EST" hidden="1">"c1699"</definedName>
    <definedName name="IQ_PRETAX_INC_NUM_EST_REUT" hidden="1">"c5351"</definedName>
    <definedName name="IQ_PRETAX_INC_STDDEV_EST" hidden="1">"c1700"</definedName>
    <definedName name="IQ_PRETAX_INC_STDDEV_EST_REUT" hidden="1">"c5352"</definedName>
    <definedName name="IQ_PRETAX_REPORT_INC_EST" hidden="1">"c1709"</definedName>
    <definedName name="IQ_PRETAX_REPORT_INC_EST_REUT" hidden="1">"c5361"</definedName>
    <definedName name="IQ_PRETAX_REPORT_INC_HIGH_EST" hidden="1">"c1711"</definedName>
    <definedName name="IQ_PRETAX_REPORT_INC_HIGH_EST_REUT" hidden="1">"c5363"</definedName>
    <definedName name="IQ_PRETAX_REPORT_INC_LOW_EST" hidden="1">"c1712"</definedName>
    <definedName name="IQ_PRETAX_REPORT_INC_LOW_EST_REUT" hidden="1">"c5364"</definedName>
    <definedName name="IQ_PRETAX_REPORT_INC_MEDIAN_EST" hidden="1">"c1710"</definedName>
    <definedName name="IQ_PRETAX_REPORT_INC_MEDIAN_EST_REUT" hidden="1">"c5362"</definedName>
    <definedName name="IQ_PRETAX_REPORT_INC_NUM_EST" hidden="1">"c1713"</definedName>
    <definedName name="IQ_PRETAX_REPORT_INC_NUM_EST_REUT" hidden="1">"c5365"</definedName>
    <definedName name="IQ_PRETAX_REPORT_INC_STDDEV_EST" hidden="1">"c1714"</definedName>
    <definedName name="IQ_PRETAX_REPORT_INC_STDDEV_EST_REUT" hidden="1">"c5366"</definedName>
    <definedName name="IQ_PRICE_CFPS_FWD" hidden="1">"c2237"</definedName>
    <definedName name="IQ_PRICE_CFPS_FWD_REUT" hidden="1">"c4053"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BOTTOM_UP" hidden="1">"c5486"</definedName>
    <definedName name="IQ_PRICE_TARGET_BOTTOM_UP_REUT" hidden="1">"c5494"</definedName>
    <definedName name="IQ_PRICE_TARGET_REUT" hidden="1">"c3631"</definedName>
    <definedName name="IQ_PRICE_VOLATILITY_EST" hidden="1">"c4492"</definedName>
    <definedName name="IQ_PRICE_VOLATILITY_HIGH" hidden="1">"c4493"</definedName>
    <definedName name="IQ_PRICE_VOLATILITY_LOW" hidden="1">"c4494"</definedName>
    <definedName name="IQ_PRICE_VOLATILITY_MEDIAN" hidden="1">"c4495"</definedName>
    <definedName name="IQ_PRICE_VOLATILITY_NUM" hidden="1">"c4496"</definedName>
    <definedName name="IQ_PRICE_VOLATILITY_STDDEV" hidden="1">"c4497"</definedName>
    <definedName name="IQ_PRICEDATE" hidden="1">"c1069"</definedName>
    <definedName name="IQ_PRICING_DATE" hidden="1">"c1613"</definedName>
    <definedName name="IQ_PRIMARY_EPS_TYPE" hidden="1">"c4498"</definedName>
    <definedName name="IQ_PRIMARY_EPS_TYPE_REUT" hidden="1">"c5481"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TD" hidden="1">750000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EST" hidden="1">"c4499"</definedName>
    <definedName name="IQ_RECURRING_PROFIT_GUIDANCE" hidden="1">"c4500"</definedName>
    <definedName name="IQ_RECURRING_PROFIT_HIGH_EST" hidden="1">"c4501"</definedName>
    <definedName name="IQ_RECURRING_PROFIT_HIGH_GUIDANCE" hidden="1">"c4179"</definedName>
    <definedName name="IQ_RECURRING_PROFIT_LOW_EST" hidden="1">"c4502"</definedName>
    <definedName name="IQ_RECURRING_PROFIT_LOW_GUIDANCE" hidden="1">"c4219"</definedName>
    <definedName name="IQ_RECURRING_PROFIT_MEDIAN_EST" hidden="1">"c4503"</definedName>
    <definedName name="IQ_RECURRING_PROFIT_NUM_EST" hidden="1">"c4504"</definedName>
    <definedName name="IQ_RECURRING_PROFIT_SHARE_ACT_OR_EST" hidden="1">"c4508"</definedName>
    <definedName name="IQ_RECURRING_PROFIT_SHARE_EST" hidden="1">"c4506"</definedName>
    <definedName name="IQ_RECURRING_PROFIT_SHARE_GUIDANCE" hidden="1">"c4509"</definedName>
    <definedName name="IQ_RECURRING_PROFIT_SHARE_HIGH_EST" hidden="1">"c4510"</definedName>
    <definedName name="IQ_RECURRING_PROFIT_SHARE_HIGH_GUIDANCE" hidden="1">"c4200"</definedName>
    <definedName name="IQ_RECURRING_PROFIT_SHARE_LOW_EST" hidden="1">"c4511"</definedName>
    <definedName name="IQ_RECURRING_PROFIT_SHARE_LOW_GUIDANCE" hidden="1">"c4240"</definedName>
    <definedName name="IQ_RECURRING_PROFIT_SHARE_MEDIAN_EST" hidden="1">"c4512"</definedName>
    <definedName name="IQ_RECURRING_PROFIT_SHARE_NUM_EST" hidden="1">"c4513"</definedName>
    <definedName name="IQ_RECURRING_PROFIT_SHARE_STDDEV_EST" hidden="1">"c4514"</definedName>
    <definedName name="IQ_RECURRING_PROFIT_STDDEV_EST" hidden="1">"c4516"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ACT_OR_EST" hidden="1">"c3585"</definedName>
    <definedName name="IQ_RETURN_ASSETS_ACT_OR_EST_REUT" hidden="1">"c5475"</definedName>
    <definedName name="IQ_RETURN_ASSETS_BANK" hidden="1">"c1114"</definedName>
    <definedName name="IQ_RETURN_ASSETS_BROK" hidden="1">"c1115"</definedName>
    <definedName name="IQ_RETURN_ASSETS_EST" hidden="1">"c3529"</definedName>
    <definedName name="IQ_RETURN_ASSETS_EST_REUT" hidden="1">"c3990"</definedName>
    <definedName name="IQ_RETURN_ASSETS_FS" hidden="1">"c1116"</definedName>
    <definedName name="IQ_RETURN_ASSETS_GUIDANCE" hidden="1">"c4517"</definedName>
    <definedName name="IQ_RETURN_ASSETS_HIGH_EST" hidden="1">"c3530"</definedName>
    <definedName name="IQ_RETURN_ASSETS_HIGH_EST_REUT" hidden="1">"c3992"</definedName>
    <definedName name="IQ_RETURN_ASSETS_HIGH_GUIDANCE" hidden="1">"c4183"</definedName>
    <definedName name="IQ_RETURN_ASSETS_LOW_EST" hidden="1">"c3531"</definedName>
    <definedName name="IQ_RETURN_ASSETS_LOW_EST_REUT" hidden="1">"c3993"</definedName>
    <definedName name="IQ_RETURN_ASSETS_LOW_GUIDANCE" hidden="1">"c4223"</definedName>
    <definedName name="IQ_RETURN_ASSETS_MEDIAN_EST" hidden="1">"c3532"</definedName>
    <definedName name="IQ_RETURN_ASSETS_MEDIAN_EST_REUT" hidden="1">"c3991"</definedName>
    <definedName name="IQ_RETURN_ASSETS_NUM_EST" hidden="1">"c3527"</definedName>
    <definedName name="IQ_RETURN_ASSETS_NUM_EST_REUT" hidden="1">"c3994"</definedName>
    <definedName name="IQ_RETURN_ASSETS_STDDEV_EST" hidden="1">"c3528"</definedName>
    <definedName name="IQ_RETURN_ASSETS_STDDEV_EST_REUT" hidden="1">"c3995"</definedName>
    <definedName name="IQ_RETURN_CAPITAL" hidden="1">"c1117"</definedName>
    <definedName name="IQ_RETURN_EQUITY" hidden="1">"c1118"</definedName>
    <definedName name="IQ_RETURN_EQUITY_ACT_OR_EST" hidden="1">"c3586"</definedName>
    <definedName name="IQ_RETURN_EQUITY_ACT_OR_EST_REUT" hidden="1">"c5476"</definedName>
    <definedName name="IQ_RETURN_EQUITY_BANK" hidden="1">"c1119"</definedName>
    <definedName name="IQ_RETURN_EQUITY_BROK" hidden="1">"c1120"</definedName>
    <definedName name="IQ_RETURN_EQUITY_EST" hidden="1">"c3535"</definedName>
    <definedName name="IQ_RETURN_EQUITY_EST_REUT" hidden="1">"c3983"</definedName>
    <definedName name="IQ_RETURN_EQUITY_FS" hidden="1">"c1121"</definedName>
    <definedName name="IQ_RETURN_EQUITY_GUIDANCE" hidden="1">"c4518"</definedName>
    <definedName name="IQ_RETURN_EQUITY_HIGH_EST" hidden="1">"c3536"</definedName>
    <definedName name="IQ_RETURN_EQUITY_HIGH_EST_REUT" hidden="1">"c3985"</definedName>
    <definedName name="IQ_RETURN_EQUITY_HIGH_GUIDANCE" hidden="1">"c4182"</definedName>
    <definedName name="IQ_RETURN_EQUITY_LOW_EST" hidden="1">"c3537"</definedName>
    <definedName name="IQ_RETURN_EQUITY_LOW_EST_REUT" hidden="1">"c3986"</definedName>
    <definedName name="IQ_RETURN_EQUITY_LOW_GUIDANCE" hidden="1">"c4222"</definedName>
    <definedName name="IQ_RETURN_EQUITY_MEDIAN_EST" hidden="1">"c3538"</definedName>
    <definedName name="IQ_RETURN_EQUITY_MEDIAN_EST_REUT" hidden="1">"c3984"</definedName>
    <definedName name="IQ_RETURN_EQUITY_NUM_EST" hidden="1">"c3533"</definedName>
    <definedName name="IQ_RETURN_EQUITY_NUM_EST_REUT" hidden="1">"c3987"</definedName>
    <definedName name="IQ_RETURN_EQUITY_STDDEV_EST" hidden="1">"c3534"</definedName>
    <definedName name="IQ_RETURN_EQUITY_STDDEV_EST_REUT" hidden="1">"c3988"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ACT_OR_EST_REUT" hidden="1">"c5461"</definedName>
    <definedName name="IQ_REVENUE_EST" hidden="1">"c1126"</definedName>
    <definedName name="IQ_REVENUE_EST_BOTTOM_UP" hidden="1">"c5488"</definedName>
    <definedName name="IQ_REVENUE_EST_BOTTOM_UP_REUT" hidden="1">"c5496"</definedName>
    <definedName name="IQ_REVENUE_EST_REUT" hidden="1">"c3634"</definedName>
    <definedName name="IQ_REVENUE_GUIDANCE" hidden="1">"c4519"</definedName>
    <definedName name="IQ_REVENUE_HIGH_EST" hidden="1">"c1127"</definedName>
    <definedName name="IQ_REVENUE_HIGH_EST_REUT" hidden="1">"c3636"</definedName>
    <definedName name="IQ_REVENUE_HIGH_GUIDANCE" hidden="1">"c4169"</definedName>
    <definedName name="IQ_REVENUE_LOW_EST" hidden="1">"c1128"</definedName>
    <definedName name="IQ_REVENUE_LOW_EST_REUT" hidden="1">"c3637"</definedName>
    <definedName name="IQ_REVENUE_LOW_GUIDANCE" hidden="1">"c4209"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EVISION_DATE_" hidden="1">39520.4343865741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GA" hidden="1">"c2993"</definedName>
    <definedName name="IQ_STOCK_BASED_HIGH_EST" hidden="1">"c4521"</definedName>
    <definedName name="IQ_STOCK_BASED_LOW_EST" hidden="1">"c4522"</definedName>
    <definedName name="IQ_STOCK_BASED_MEDIAN_EST" hidden="1">"c4523"</definedName>
    <definedName name="IQ_STOCK_BASED_NUM_EST" hidden="1">"c4524"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_FWD_REUT" hidden="1">"c4054"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EST" hidden="1">"c4526"</definedName>
    <definedName name="IQ_TEV_HIGH_EST" hidden="1">"c4527"</definedName>
    <definedName name="IQ_TEV_LOW_EST" hidden="1">"c4528"</definedName>
    <definedName name="IQ_TEV_MEDIAN_EST" hidden="1">"c4529"</definedName>
    <definedName name="IQ_TEV_NUM_EST" hidden="1">"c4530"</definedName>
    <definedName name="IQ_TEV_STDDEV_EST" hidden="1">"c4531"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XCL_FIN" hidden="1">"c2937"</definedName>
    <definedName name="IQ_TOTAL_DEBT_GUIDANCE" hidden="1">"c4533"</definedName>
    <definedName name="IQ_TOTAL_DEBT_HIGH_EST" hidden="1">"c4534"</definedName>
    <definedName name="IQ_TOTAL_DEBT_HIGH_GUIDANCE" hidden="1">"c4196"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LOW_GUIDANCE" hidden="1">"c4236"</definedName>
    <definedName name="IQ_TOTAL_DEBT_MEDIAN_EST" hidden="1">"c4536"</definedName>
    <definedName name="IQ_TOTAL_DEBT_NUM_EST" hidden="1">"c4537"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BT_STDDEV_EST" hidden="1">"c4538"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AP_rate" localSheetId="14">#REF!</definedName>
    <definedName name="IRAP_rate" localSheetId="13">#REF!</definedName>
    <definedName name="IRAP_rate">#REF!</definedName>
    <definedName name="IRPEG_rate" localSheetId="14">#REF!</definedName>
    <definedName name="IRPEG_rate" localSheetId="13">#REF!</definedName>
    <definedName name="IRPEG_rate">#REF!</definedName>
    <definedName name="JJJJJJ" localSheetId="11" hidden="1">{"français",#N/A,FALSE,"Intro";"français",#N/A,FALSE,"Index";#N/A,#N/A,FALSE,"3-Incor";#N/A,#N/A,FALSE,"4-Corpo"}</definedName>
    <definedName name="JJJJJJ" hidden="1">{"français",#N/A,FALSE,"Intro";"français",#N/A,FALSE,"Index";#N/A,#N/A,FALSE,"3-Incor";#N/A,#N/A,FALSE,"4-Corpo"}</definedName>
    <definedName name="jjjjjjjjjjjjjjjjjjjjjjjjj">#REF!</definedName>
    <definedName name="jjjjjjjjjjjjjjjjjjjjjjjjjjj">#REF!</definedName>
    <definedName name="JKKKLL" localSheetId="11" hidden="1">{"français",#N/A,FALSE,"Intro";"français",#N/A,FALSE,"Index";#N/A,#N/A,FALSE,"3-Incor";#N/A,#N/A,FALSE,"4-Corpo"}</definedName>
    <definedName name="JKKKLL" hidden="1">{"français",#N/A,FALSE,"Intro";"français",#N/A,FALSE,"Index";#N/A,#N/A,FALSE,"3-Incor";#N/A,#N/A,FALSE,"4-Corpo"}</definedName>
    <definedName name="JUUUU" localSheetId="11" hidden="1">{"français",#N/A,FALSE,"Intro";"français",#N/A,FALSE,"Index";#N/A,#N/A,FALSE,"3-Incor";#N/A,#N/A,FALSE,"4-Corpo"}</definedName>
    <definedName name="JUUUU" hidden="1">{"français",#N/A,FALSE,"Intro";"français",#N/A,FALSE,"Index";#N/A,#N/A,FALSE,"3-Incor";#N/A,#N/A,FALSE,"4-Corpo"}</definedName>
    <definedName name="K2_WBEVMODE" hidden="1">0</definedName>
    <definedName name="kkk" localSheetId="11">#REF!</definedName>
    <definedName name="kkk">#REF!</definedName>
    <definedName name="kkkk" localSheetId="11">#REF!</definedName>
    <definedName name="kkkk">#REF!</definedName>
    <definedName name="kl" localSheetId="11">#REF!</definedName>
    <definedName name="kl">#REF!</definedName>
    <definedName name="lampade">#REF!</definedName>
    <definedName name="langue">#REF!</definedName>
    <definedName name="Lanterna">#REF!</definedName>
    <definedName name="Last_hist" localSheetId="14">#REF!</definedName>
    <definedName name="Last_hist" localSheetId="13">#REF!</definedName>
    <definedName name="Last_hist">#REF!</definedName>
    <definedName name="Last_Row" localSheetId="8">IF('CE CC opz2'!Values_Entered,[0]!Header_Row+'CE CC opz2'!Number_of_Payments,[0]!Header_Row)</definedName>
    <definedName name="Last_Row" localSheetId="11">IF('QUADRO ECONOMICO'!Values_Entered,Header_Row+'QUADRO ECONOMICO'!Number_of_Payments,Header_Row)</definedName>
    <definedName name="Last_Row" localSheetId="9">IF('RF VAL_INV opz2'!Values_Entered,[0]!Header_Row+'RF VAL_INV opz2'!Number_of_Payments,[0]!Header_Row)</definedName>
    <definedName name="Last_Row" localSheetId="10">IF('SP opz2'!Values_Entered,[0]!Header_Row+'SP opz2'!Number_of_Payments,[0]!Header_Row)</definedName>
    <definedName name="Last_Row">IF(Values_Entered,Header_Row+Number_of_Payments,Header_Row)</definedName>
    <definedName name="LastTime" localSheetId="11">#REF!</definedName>
    <definedName name="LastTime">#REF!</definedName>
    <definedName name="LastYear" localSheetId="11">#REF!</definedName>
    <definedName name="LastYear">#REF!</definedName>
    <definedName name="LAV" localSheetId="8">IF(Loan_Amount*Interest_Rate*Loan_Years*Loan_Start&gt;0,1,0)</definedName>
    <definedName name="LAV" localSheetId="11">IF(Loan_Amount*Interest_Rate*Loan_Years*Loan_Start&gt;0,1,0)</definedName>
    <definedName name="LAV" localSheetId="9">IF(Loan_Amount*Interest_Rate*Loan_Years*Loan_Start&gt;0,1,0)</definedName>
    <definedName name="LAV" localSheetId="10">IF(Loan_Amount*Interest_Rate*Loan_Years*Loan_Start&gt;0,1,0)</definedName>
    <definedName name="LAV">IF(Loan_Amount*Interest_Rate*Loan_Years*Loan_Start&gt;0,1,0)</definedName>
    <definedName name="LeAtt" localSheetId="11">#REF!</definedName>
    <definedName name="LeAtt">#REF!</definedName>
    <definedName name="LeAtt2" localSheetId="11">#REF!</definedName>
    <definedName name="LeAtt2">#REF!</definedName>
    <definedName name="LePrec" localSheetId="11">#REF!</definedName>
    <definedName name="LePrec">#REF!</definedName>
    <definedName name="LePrec2">#REF!</definedName>
    <definedName name="lig_finfwd_hh">#REF!</definedName>
    <definedName name="lig_finfwd_marchés">#REF!</definedName>
    <definedName name="limcount" hidden="1">1</definedName>
    <definedName name="Linea">#REF!</definedName>
    <definedName name="LineaFV">#REF!</definedName>
    <definedName name="LineaNormale">#REF!</definedName>
    <definedName name="LineeUscita">#REF!</definedName>
    <definedName name="list_scen">#REF!</definedName>
    <definedName name="lista_DB_input" localSheetId="11">#REF!</definedName>
    <definedName name="lista_DB_input">#REF!</definedName>
    <definedName name="lista_in_BIO_PLASTICA">#REF!</definedName>
    <definedName name="liv" localSheetId="11">#REF!</definedName>
    <definedName name="liv">#REF!</definedName>
    <definedName name="liv_1" localSheetId="11">#REF!</definedName>
    <definedName name="liv_1">#REF!</definedName>
    <definedName name="llll" localSheetId="11">#REF!</definedName>
    <definedName name="llll">#REF!</definedName>
    <definedName name="loc" localSheetId="11">#REF!</definedName>
    <definedName name="loc">#REF!</definedName>
    <definedName name="localita" localSheetId="11">#REF!</definedName>
    <definedName name="localita">#REF!</definedName>
    <definedName name="LOCALITà" localSheetId="11">#REF!</definedName>
    <definedName name="LOCALITà">#REF!</definedName>
    <definedName name="LogMov" localSheetId="14">#REF!</definedName>
    <definedName name="LogMov" localSheetId="13">#REF!</definedName>
    <definedName name="LogMov">#REF!</definedName>
    <definedName name="LT" localSheetId="11">#REF!</definedName>
    <definedName name="LT">#REF!</definedName>
    <definedName name="LU_Mths" localSheetId="11">#REF!</definedName>
    <definedName name="LU_Mths">#REF!</definedName>
    <definedName name="lug_1" localSheetId="11">#REF!</definedName>
    <definedName name="lug_1">#REF!</definedName>
    <definedName name="Lung_Assente_Staffa">#REF!</definedName>
    <definedName name="Lung_Bracci_Mensole">#REF!</definedName>
    <definedName name="Lung_Pipetta">#REF!</definedName>
    <definedName name="Lunghezza">#REF!</definedName>
    <definedName name="LunghMensola">#REF!</definedName>
    <definedName name="M">#REF!</definedName>
    <definedName name="mag_1">#REF!</definedName>
    <definedName name="MAND_1">#REF!</definedName>
    <definedName name="MAND_3">#REF!</definedName>
    <definedName name="mano">#REF!</definedName>
    <definedName name="mano_1">#REF!</definedName>
    <definedName name="MANOD_1">#REF!</definedName>
    <definedName name="MANOD_2">#REF!</definedName>
    <definedName name="MANOD_3">#REF!</definedName>
    <definedName name="MANOD_4">#REF!</definedName>
    <definedName name="MANOD1">#REF!</definedName>
    <definedName name="Manodo_3">#REF!</definedName>
    <definedName name="manodopera">#REF!</definedName>
    <definedName name="ManuENEL" localSheetId="14">#REF!</definedName>
    <definedName name="ManuENEL" localSheetId="13">#REF!</definedName>
    <definedName name="ManuENEL">#REF!</definedName>
    <definedName name="ManuIPP" localSheetId="14">#REF!</definedName>
    <definedName name="ManuIPP" localSheetId="13">#REF!</definedName>
    <definedName name="ManuIPP">#REF!</definedName>
    <definedName name="ManutENEL" localSheetId="14">#REF!</definedName>
    <definedName name="ManutENEL" localSheetId="11">#REF!</definedName>
    <definedName name="ManutENEL" localSheetId="13">#REF!</definedName>
    <definedName name="ManutENEL">#REF!</definedName>
    <definedName name="ManutIPP" localSheetId="14">#REF!</definedName>
    <definedName name="ManutIPP" localSheetId="11">#REF!</definedName>
    <definedName name="ManutIPP" localSheetId="13">#REF!</definedName>
    <definedName name="ManutIPP">#REF!</definedName>
    <definedName name="mar_1" localSheetId="11">#REF!</definedName>
    <definedName name="mar_1">#REF!</definedName>
    <definedName name="Markets" localSheetId="14">#REF!</definedName>
    <definedName name="Markets" localSheetId="13">#REF!</definedName>
    <definedName name="Markets">#REF!</definedName>
    <definedName name="Mastercheck" localSheetId="11">#REF!</definedName>
    <definedName name="Mastercheck">#REF!</definedName>
    <definedName name="Mat_Sbr" localSheetId="11">#REF!</definedName>
    <definedName name="Mat_Sbr">#REF!</definedName>
    <definedName name="Mat_Sost" localSheetId="11">#REF!</definedName>
    <definedName name="Mat_Sost">#REF!</definedName>
    <definedName name="MATERIALE" localSheetId="8">IF(Loan_Amount*Interest_Rate*Loan_Years*Loan_Start&gt;0,1,0)</definedName>
    <definedName name="MATERIALE" localSheetId="11">IF(Loan_Amount*Interest_Rate*Loan_Years*Loan_Start&gt;0,1,0)</definedName>
    <definedName name="MATERIALE" localSheetId="9">IF(Loan_Amount*Interest_Rate*Loan_Years*Loan_Start&gt;0,1,0)</definedName>
    <definedName name="MATERIALE" localSheetId="10">IF(Loan_Amount*Interest_Rate*Loan_Years*Loan_Start&gt;0,1,0)</definedName>
    <definedName name="MATERIALE">IF(Loan_Amount*Interest_Rate*Loan_Years*Loan_Start&gt;0,1,0)</definedName>
    <definedName name="MatMensola" localSheetId="11">#REF!</definedName>
    <definedName name="MatMensola">#REF!</definedName>
    <definedName name="MatSostegno" localSheetId="11">#REF!</definedName>
    <definedName name="MatSostegno">#REF!</definedName>
    <definedName name="MCONS_1" localSheetId="11">#REF!</definedName>
    <definedName name="MCONS_1">#REF!</definedName>
    <definedName name="MCONS_2">#REF!</definedName>
    <definedName name="MCONSU_1">#REF!</definedName>
    <definedName name="Mconsu_2">#REF!</definedName>
    <definedName name="media">#REF!</definedName>
    <definedName name="MENU" localSheetId="11">#REF!</definedName>
    <definedName name="MENU">#REF!</definedName>
    <definedName name="Method" localSheetId="14">#REF!</definedName>
    <definedName name="Method" localSheetId="13">#REF!</definedName>
    <definedName name="Method">#REF!</definedName>
    <definedName name="MND_1" localSheetId="11">#REF!</definedName>
    <definedName name="MND_1">#REF!</definedName>
    <definedName name="MND_2" localSheetId="11">#REF!</definedName>
    <definedName name="MND_2">#REF!</definedName>
    <definedName name="mnd_3" localSheetId="11">#REF!</definedName>
    <definedName name="mnd_3">#REF!</definedName>
    <definedName name="mnd_5">#REF!</definedName>
    <definedName name="Model_Start_Date">#REF!</definedName>
    <definedName name="Montante" localSheetId="11">IF(#REF!&lt;&gt;"",MIN(#REF!,Rata_da_usare-#REF!),"")</definedName>
    <definedName name="Montante">IF(#REF!&lt;&gt;"",MIN(#REF!,Rata_da_usare-#REF!),"")</definedName>
    <definedName name="Month" localSheetId="11">#REF!</definedName>
    <definedName name="Month">#REF!</definedName>
    <definedName name="MonthNum" localSheetId="11">#REF!</definedName>
    <definedName name="MonthNum">#REF!</definedName>
    <definedName name="Months_in_year">#REF!</definedName>
    <definedName name="Monumentale">#REF!</definedName>
    <definedName name="Mostra.data" localSheetId="11">IF(#REF!&lt;&gt;"",DATE(YEAR('QUADRO ECONOMICO'!Data_1rata),MONTH('QUADRO ECONOMICO'!Data_1rata)+(#REF!-1)*12/Num_rate_annuali,DAY('QUADRO ECONOMICO'!Data_1rata)),"")</definedName>
    <definedName name="Mostra.data">IF(#REF!&lt;&gt;"",DATE(YEAR(Data_1rata),MONTH(Data_1rata)+(#REF!-1)*12/Num_rate_annuali,DAY(Data_1rata)),"")</definedName>
    <definedName name="MULTI" localSheetId="11" hidden="1">{"français",#N/A,FALSE,"Intro";"français",#N/A,FALSE,"Index";#N/A,#N/A,FALSE,"3-Incor";#N/A,#N/A,FALSE,"4-Corpo"}</definedName>
    <definedName name="MULTI" hidden="1">{"français",#N/A,FALSE,"Intro";"français",#N/A,FALSE,"Index";#N/A,#N/A,FALSE,"3-Incor";#N/A,#N/A,FALSE,"4-Corpo"}</definedName>
    <definedName name="MULTITEC" localSheetId="11" hidden="1">{"français",#N/A,FALSE,"Intro";"français",#N/A,FALSE,"Index";#N/A,#N/A,FALSE,"3-Incor";#N/A,#N/A,FALSE,"4-Corpo"}</definedName>
    <definedName name="MULTITEC" hidden="1">{"français",#N/A,FALSE,"Intro";"français",#N/A,FALSE,"Index";#N/A,#N/A,FALSE,"3-Incor";#N/A,#N/A,FALSE,"4-Corpo"}</definedName>
    <definedName name="n">#N/A</definedName>
    <definedName name="n_giorni_DPR">#REF!</definedName>
    <definedName name="N_Lotti">#REF!</definedName>
    <definedName name="name">#REF!</definedName>
    <definedName name="Net_Profit" localSheetId="14">#REF!</definedName>
    <definedName name="Net_Profit" localSheetId="13">#REF!</definedName>
    <definedName name="Net_Profit">#REF!</definedName>
    <definedName name="Net_Profit__semiannual" localSheetId="14">#REF!</definedName>
    <definedName name="Net_Profit__semiannual" localSheetId="13">#REF!</definedName>
    <definedName name="Net_Profit__semiannual">#REF!</definedName>
    <definedName name="nkjas" localSheetId="11">#REF!</definedName>
    <definedName name="nkjas">#REF!</definedName>
    <definedName name="nnnnnnnnnnnnnnnnnn" localSheetId="11" hidden="1">{"Graphe ranking",#N/A,FALSE,"Coûts marginaux";"Graphes NPV annuité",#N/A,FALSE,"Coûts marginaux";"Graphe annuité couts",#N/A,FALSE,"Coûts marginaux";"Graphe perpétuité",#N/A,FALSE,"Coûts marginaux";"Graphe prix vs coût",#N/A,FALSE,"Coûts marginaux";"Graphe puissance",#N/A,FALSE,"Coûts marginaux";"Graphe fonct",#N/A,FALSE,"Coûts marginaux";"Graphe efficience",#N/A,FALSE,"Coûts marginaux";"Graphe durée vie",#N/A,FALSE,"Coûts marginaux";"Prod graphe",#N/A,FALSE,"Prod cumulée"}</definedName>
    <definedName name="nnnnnnnnnnnnnnnnnn" hidden="1">{"Graphe ranking",#N/A,FALSE,"Coûts marginaux";"Graphes NPV annuité",#N/A,FALSE,"Coûts marginaux";"Graphe annuité couts",#N/A,FALSE,"Coûts marginaux";"Graphe perpétuité",#N/A,FALSE,"Coûts marginaux";"Graphe prix vs coût",#N/A,FALSE,"Coûts marginaux";"Graphe puissance",#N/A,FALSE,"Coûts marginaux";"Graphe fonct",#N/A,FALSE,"Coûts marginaux";"Graphe efficience",#N/A,FALSE,"Coûts marginaux";"Graphe durée vie",#N/A,FALSE,"Coûts marginaux";"Prod graphe",#N/A,FALSE,"Prod cumulée"}</definedName>
    <definedName name="nomFichier">#REF!</definedName>
    <definedName name="Nono_Ritardo_Closed" localSheetId="11">OFFSET(#REF!,0,#REF!,1,#REF!)</definedName>
    <definedName name="Nono_Ritardo_Closed">OFFSET(#REF!,0,#REF!,1,#REF!)</definedName>
    <definedName name="NonRec2007">#REF!</definedName>
    <definedName name="NonRec2008">#REF!</definedName>
    <definedName name="NONRINNOVABILE" localSheetId="11">OFFSET(#REF!,1,,COUNT(#REF!),)</definedName>
    <definedName name="NONRINNOVABILE">OFFSET(#REF!,1,,COUNT(#REF!),)</definedName>
    <definedName name="NORM_ELEMS">#REF!,#REF!</definedName>
    <definedName name="nov_1">#REF!</definedName>
    <definedName name="nr_com_f1">#REF!</definedName>
    <definedName name="nr_com_f2">#REF!</definedName>
    <definedName name="nr_com_f3">#REF!</definedName>
    <definedName name="nr_com_f4">#REF!</definedName>
    <definedName name="num">#REF!</definedName>
    <definedName name="Num.rata" localSheetId="11">IF(OR(#REF!="",#REF!='QUADRO ECONOMICO'!Rate_totali),"",#REF!+1)</definedName>
    <definedName name="Num.rata">IF(OR(#REF!="",#REF!=Rate_totali),"",#REF!+1)</definedName>
    <definedName name="Num_1rata">#REF!</definedName>
    <definedName name="Num_pag_anno">#REF!</definedName>
    <definedName name="Num_pagam">#REF!</definedName>
    <definedName name="Num_rate_annuali">#REF!</definedName>
    <definedName name="Number_of_Payments" localSheetId="8">MATCH(0.01,End_Bal,-1)+1</definedName>
    <definedName name="Number_of_Payments" localSheetId="11">MATCH(0.01,End_Bal,-1)+1</definedName>
    <definedName name="Number_of_Payments" localSheetId="9">MATCH(0.01,End_Bal,-1)+1</definedName>
    <definedName name="Number_of_Payments" localSheetId="10">MATCH(0.01,End_Bal,-1)+1</definedName>
    <definedName name="Number_of_Payments">MATCH(0.01,End_Bal,-1)+1</definedName>
    <definedName name="Numero_di_pagamenti" localSheetId="11">MATCH(0.01,Sal_fin,-1)+1</definedName>
    <definedName name="Numero_di_pagamenti">MATCH(0.01,Sal_fin,-1)+1</definedName>
    <definedName name="OffPick_endesa">#N/A</definedName>
    <definedName name="OffPick_endesa_16">#N/A</definedName>
    <definedName name="OffPick_endesa_17">#N/A</definedName>
    <definedName name="offPick_ergon">#N/A</definedName>
    <definedName name="offPick_ergon_16">#N/A</definedName>
    <definedName name="offPick_ergon_17">#N/A</definedName>
    <definedName name="òòòòòòò" localSheetId="11" hidden="1">{"français",#N/A,FALSE,"Intro";"français",#N/A,FALSE,"Index";#N/A,#N/A,FALSE,"3-Incor";#N/A,#N/A,FALSE,"4-Corpo"}</definedName>
    <definedName name="òòòòòòò" hidden="1">{"français",#N/A,FALSE,"Intro";"français",#N/A,FALSE,"Index";#N/A,#N/A,FALSE,"3-Incor";#N/A,#N/A,FALSE,"4-Corpo"}</definedName>
    <definedName name="òòòòòòòòòòòòòòòòòòòòò">#REF!</definedName>
    <definedName name="opex">#REF!</definedName>
    <definedName name="Options" localSheetId="14">#REF!</definedName>
    <definedName name="Options" localSheetId="13">#REF!</definedName>
    <definedName name="Options">#REF!</definedName>
    <definedName name="OrdApparecchio" localSheetId="11">#REF!</definedName>
    <definedName name="OrdApparecchio">#REF!</definedName>
    <definedName name="Ordine" localSheetId="11">#REF!</definedName>
    <definedName name="Ordine">#REF!</definedName>
    <definedName name="ott_1" localSheetId="11">#REF!</definedName>
    <definedName name="ott_1">#REF!</definedName>
    <definedName name="Ottavo_Ritardo_Closed" localSheetId="11">OFFSET(#REF!,0,#REF!,1,#REF!)</definedName>
    <definedName name="Ottavo_Ritardo_Closed">OFFSET(#REF!,0,#REF!,1,#REF!)</definedName>
    <definedName name="OUTPUT_NEW" localSheetId="11" hidden="1">[0]!Header1-1 &amp; "." &amp; MAX(1,COUNTA(INDEX(#REF!,MATCH([0]!Header1-1,#REF!,FALSE)):#REF!))</definedName>
    <definedName name="OUTPUT_NEW" hidden="1">[0]!Header1-1 &amp; "." &amp; MAX(1,COUNTA(INDEX(#REF!,MATCH([0]!Header1-1,#REF!,FALSE)):#REF!))</definedName>
    <definedName name="Outstanding" localSheetId="11">OFFSET(#REF!,0,#REF!-1,1,#REF!),#REF!</definedName>
    <definedName name="Outstanding">OFFSET(#REF!,0,#REF!-1,1,#REF!),#REF!</definedName>
    <definedName name="Overall_Ritardo_Closed" localSheetId="11">OFFSET(#REF!,0,#REF!,1,#REF!)</definedName>
    <definedName name="Overall_Ritardo_Closed">OFFSET(#REF!,0,#REF!,1,#REF!)</definedName>
    <definedName name="Ownership" hidden="1">OFFSET(#REF!,1,0)</definedName>
    <definedName name="p111111111111">#REF!</definedName>
    <definedName name="Pag_extra">#REF!</definedName>
    <definedName name="Pagam_extra_pianif">#REF!</definedName>
    <definedName name="Pagam_mensile_pianif">#REF!</definedName>
    <definedName name="Pagam_per_anno">#REF!</definedName>
    <definedName name="Pagam_pianif">#REF!</definedName>
    <definedName name="PAGAMENTI">#REF!</definedName>
    <definedName name="paolo" localSheetId="11" hidden="1">{"'UR21 1 semestre'!$A$9:$T$9"}</definedName>
    <definedName name="paolo" hidden="1">{"'UR21 1 semestre'!$A$9:$T$9"}</definedName>
    <definedName name="Passage_add">#REF!</definedName>
    <definedName name="passage_deb">#REF!</definedName>
    <definedName name="passage_fin">#REF!</definedName>
    <definedName name="Passage_Insert_1">#REF!</definedName>
    <definedName name="Passage_Insert_2">#REF!</definedName>
    <definedName name="Passage_Insert_3">#REF!</definedName>
    <definedName name="Passage_Insert_4">#REF!</definedName>
    <definedName name="PAWS_Basis">1</definedName>
    <definedName name="PAWS_EndDate">37257</definedName>
    <definedName name="PAWS_GraphMode">TRUE</definedName>
    <definedName name="PAWS_LastNDays">10</definedName>
    <definedName name="PAWS_PasteRows">FALSE</definedName>
    <definedName name="PAWS_Periodicity">3</definedName>
    <definedName name="PAWS_PeriodSpec">1</definedName>
    <definedName name="PAWS_StartDate">32509</definedName>
    <definedName name="PAWS_UseDates">TRUE</definedName>
    <definedName name="PAWS_UseLastSelection">FALSE</definedName>
    <definedName name="PAWS_UseUnits">TRUE</definedName>
    <definedName name="PAWS_ZeroMode">TRUE</definedName>
    <definedName name="Payment_Date" localSheetId="8">DATE(YEAR(Loan_Start),MONTH(Loan_Start)+Payment_Number,DAY(Loan_Start))</definedName>
    <definedName name="Payment_Date" localSheetId="11">DATE(YEAR(Loan_Start),MONTH(Loan_Start)+Payment_Number,DAY(Loan_Start))</definedName>
    <definedName name="Payment_Date" localSheetId="9">DATE(YEAR(Loan_Start),MONTH(Loan_Start)+Payment_Number,DAY(Loan_Start))</definedName>
    <definedName name="Payment_Date" localSheetId="10">DATE(YEAR(Loan_Start),MONTH(Loan_Start)+Payment_Number,DAY(Loan_Start))</definedName>
    <definedName name="Payment_Date">DATE(YEAR(Loan_Start),MONTH(Loan_Start)+Payment_Number,DAY(Loan_Start))</definedName>
    <definedName name="PCI">#N/A</definedName>
    <definedName name="Peechp1" localSheetId="11">#REF!</definedName>
    <definedName name="Peechp1">#REF!</definedName>
    <definedName name="Peechp2" localSheetId="11">#REF!</definedName>
    <definedName name="Peechp2">#REF!</definedName>
    <definedName name="Peechp3" localSheetId="11">#REF!</definedName>
    <definedName name="Peechp3">#REF!</definedName>
    <definedName name="Peechp4">#REF!</definedName>
    <definedName name="Perdite_ventilazione">#REF!</definedName>
    <definedName name="PERIODI">#REF!</definedName>
    <definedName name="Periodo" localSheetId="11">#REF!</definedName>
    <definedName name="Periodo">#REF!</definedName>
    <definedName name="personale" localSheetId="11">#REF!</definedName>
    <definedName name="personale">#REF!</definedName>
    <definedName name="Pick_endesa">#N/A</definedName>
    <definedName name="Pick_endesa_16">#N/A</definedName>
    <definedName name="Pick_endesa_17">#N/A</definedName>
    <definedName name="Pick_ergon">#N/A</definedName>
    <definedName name="Pick_ergon_16">#N/A</definedName>
    <definedName name="Pick_ergon_17">#N/A</definedName>
    <definedName name="pipe1" localSheetId="11">#REF!</definedName>
    <definedName name="pipe1">#REF!</definedName>
    <definedName name="pipe2">#REF!</definedName>
    <definedName name="PIVOT" localSheetId="11">OFFSET(#REF!,4,,COUNTA(#REF!),COUNTA(#REF!))</definedName>
    <definedName name="PIVOT">OFFSET(#REF!,4,,COUNTA(#REF!),COUNTA(#REF!))</definedName>
    <definedName name="Plan" localSheetId="11">#REF!</definedName>
    <definedName name="Plan">#REF!</definedName>
    <definedName name="Plan_vado" localSheetId="11">#REF!</definedName>
    <definedName name="Plan_vado">#REF!</definedName>
    <definedName name="PLANT">#REF!</definedName>
    <definedName name="PlantType1" localSheetId="14">#REF!</definedName>
    <definedName name="PlantType1" localSheetId="13">#REF!</definedName>
    <definedName name="PlantType1">#REF!</definedName>
    <definedName name="PlantType2" localSheetId="14">#REF!</definedName>
    <definedName name="PlantType2" localSheetId="13">#REF!</definedName>
    <definedName name="PlantType2">#REF!</definedName>
    <definedName name="Port_Palo" localSheetId="11">#REF!</definedName>
    <definedName name="Port_Palo">#REF!</definedName>
    <definedName name="Port_Parete" localSheetId="11">#REF!</definedName>
    <definedName name="Port_Parete">#REF!</definedName>
    <definedName name="Pos_Cont" localSheetId="11">#REF!</definedName>
    <definedName name="Pos_Cont">#REF!</definedName>
    <definedName name="PosizCorIll">#REF!</definedName>
    <definedName name="Pot_imp">#REF!</definedName>
    <definedName name="Pot_max">#REF!</definedName>
    <definedName name="PotAlim">#REF!</definedName>
    <definedName name="Potenza_elettrica_unità_CHP">#REF!</definedName>
    <definedName name="Potenza_SEM_INC">#REF!</definedName>
    <definedName name="Potenza_SEM_LED">#REF!</definedName>
    <definedName name="Potenze_NF">#N/A</definedName>
    <definedName name="potenze_orarie">#N/A</definedName>
    <definedName name="Potenze_VF">#N/A</definedName>
    <definedName name="PotLampada">#REF!</definedName>
    <definedName name="Pozzetto" localSheetId="11">#REF!</definedName>
    <definedName name="Pozzetto">#REF!</definedName>
    <definedName name="pprice" localSheetId="11">#REF!</definedName>
    <definedName name="pprice">#REF!</definedName>
    <definedName name="pr_bda">#REF!</definedName>
    <definedName name="pr_f1">#REF!</definedName>
    <definedName name="pr_f2">#REF!</definedName>
    <definedName name="pr_f3">#REF!</definedName>
    <definedName name="pr_f4">#REF!</definedName>
    <definedName name="PREPRODUZIONE" localSheetId="11">OFFSET(#REF!,2,0,COUNT(#REF!)-1,)</definedName>
    <definedName name="PREPRODUZIONE">OFFSET(#REF!,2,0,COUNT(#REF!)-1,)</definedName>
    <definedName name="prezzo_f1">#REF!</definedName>
    <definedName name="Prezzo_Gas">#REF!</definedName>
    <definedName name="Prezzo_TEE">#REF!</definedName>
    <definedName name="Primo_Ritardo_Closed">OFFSET(#REF!,0,#REF!,1,#REF!)</definedName>
    <definedName name="Print_Area_Reset" localSheetId="8">OFFSET(Full_Print,0,0,'CE CC opz2'!Last_Row)</definedName>
    <definedName name="Print_Area_Reset" localSheetId="11">OFFSET(Full_Print,0,0,'QUADRO ECONOMICO'!Last_Row)</definedName>
    <definedName name="Print_Area_Reset" localSheetId="9">OFFSET(Full_Print,0,0,'RF VAL_INV opz2'!Last_Row)</definedName>
    <definedName name="Print_Area_Reset" localSheetId="10">OFFSET(Full_Print,0,0,'SP opz2'!Last_Row)</definedName>
    <definedName name="Print_Area_Reset">OFFSET(Full_Print,0,0,Last_Row)</definedName>
    <definedName name="prodotto" localSheetId="11">#REF!</definedName>
    <definedName name="prodotto">#REF!</definedName>
    <definedName name="prodottonew">#REF!</definedName>
    <definedName name="produzione_anno">#REF!</definedName>
    <definedName name="Project">#REF!</definedName>
    <definedName name="ProjectName" localSheetId="11">{"BU Name or Client/Project Name"}</definedName>
    <definedName name="ProjectName">{"BU Name or Client/Project Name"}</definedName>
    <definedName name="Promiscuita" localSheetId="11">#REF!</definedName>
    <definedName name="Promiscuita">#REF!</definedName>
    <definedName name="Promiscuita_Mono" localSheetId="11">#REF!</definedName>
    <definedName name="Promiscuita_Mono">#REF!</definedName>
    <definedName name="Proprieta" localSheetId="11">#REF!</definedName>
    <definedName name="Proprieta">#REF!</definedName>
    <definedName name="Proprieta_QE">#REF!</definedName>
    <definedName name="Protezione">#REF!</definedName>
    <definedName name="prova">#REF!</definedName>
    <definedName name="province">#REF!</definedName>
    <definedName name="Provincia" localSheetId="11">#REF!</definedName>
    <definedName name="Provincia">#REF!</definedName>
    <definedName name="Pth2chp1" localSheetId="11">#REF!</definedName>
    <definedName name="Pth2chp1">#REF!</definedName>
    <definedName name="Pth2chp2" localSheetId="11">#REF!</definedName>
    <definedName name="Pth2chp2">#REF!</definedName>
    <definedName name="Pth2chp3" localSheetId="11">#REF!</definedName>
    <definedName name="Pth2chp3">#REF!</definedName>
    <definedName name="Pth2chp4">#REF!</definedName>
    <definedName name="Pthachp1">#REF!</definedName>
    <definedName name="Pthachp2">#REF!</definedName>
    <definedName name="Pthachp3">#REF!</definedName>
    <definedName name="Pthachp4">#REF!</definedName>
    <definedName name="Pthfchp1">#REF!</definedName>
    <definedName name="Pthfchp2">#REF!</definedName>
    <definedName name="Pthfchp3">#REF!</definedName>
    <definedName name="Pthfchp4">#REF!</definedName>
    <definedName name="Pthvchp1">#REF!</definedName>
    <definedName name="Pthvchp2">#REF!</definedName>
    <definedName name="Pthvchp3">#REF!</definedName>
    <definedName name="Pthvchp4">#REF!</definedName>
    <definedName name="PUN">#REF!</definedName>
    <definedName name="punta">#REF!</definedName>
    <definedName name="Q">#REF!</definedName>
    <definedName name="QOPick">#N/A</definedName>
    <definedName name="QPick">#N/A</definedName>
    <definedName name="qqqqqqqqqq" localSheetId="13" hidden="1">{#N/A,#N/A,FALSE,"Aging Summary";#N/A,#N/A,FALSE,"Ratio Analysis";#N/A,#N/A,FALSE,"Test 120 Day Accts";#N/A,#N/A,FALSE,"Tickmarks"}</definedName>
    <definedName name="qqqqqqqqqq" hidden="1">{#N/A,#N/A,FALSE,"Aging Summary";#N/A,#N/A,FALSE,"Ratio Analysis";#N/A,#N/A,FALSE,"Test 120 Day Accts";#N/A,#N/A,FALSE,"Tickmarks"}</definedName>
    <definedName name="qqqqqqqqqqqqqqqqq">#REF!</definedName>
    <definedName name="Quadro" localSheetId="11">#REF!</definedName>
    <definedName name="Quadro">#REF!</definedName>
    <definedName name="QUAL" localSheetId="11">#REF!</definedName>
    <definedName name="QUAL">#REF!</definedName>
    <definedName name="quantità" localSheetId="11">#REF!</definedName>
    <definedName name="quantità">#REF!</definedName>
    <definedName name="Quarter">#REF!</definedName>
    <definedName name="Quarto_Ritardo_Closed" localSheetId="11">OFFSET(#REF!,0,#REF!,1,#REF!)</definedName>
    <definedName name="Quarto_Ritardo_Closed">OFFSET(#REF!,0,#REF!,1,#REF!)</definedName>
    <definedName name="Quinto_Ritardo_Closed" localSheetId="11">OFFSET(#REF!,0,#REF!,1,#REF!)</definedName>
    <definedName name="Quinto_Ritardo_Closed">OFFSET(#REF!,0,#REF!,1,#REF!)</definedName>
    <definedName name="quota_no">#REF!</definedName>
    <definedName name="RAL">#REF!</definedName>
    <definedName name="Rata_calc">#REF!</definedName>
    <definedName name="Rata_da_usare">#REF!</definedName>
    <definedName name="Rata_immessa">#REF!</definedName>
    <definedName name="RATE">#REF!</definedName>
    <definedName name="Rate_totali" localSheetId="11">Num_rate_annuali*'QUADRO ECONOMICO'!Periodo</definedName>
    <definedName name="Rate_totali">Num_rate_annuali*Periodo</definedName>
    <definedName name="RATEIZ_1" localSheetId="11">#REF!</definedName>
    <definedName name="RATEIZ_1">#REF!</definedName>
    <definedName name="RATEIZ_2" localSheetId="11">#REF!</definedName>
    <definedName name="RATEIZ_2">#REF!</definedName>
    <definedName name="RATEIZZ_1" localSheetId="11">#REF!</definedName>
    <definedName name="RATEIZZ_1">#REF!</definedName>
    <definedName name="RATEIZZ_2">#REF!</definedName>
    <definedName name="rdv">#REF!</definedName>
    <definedName name="Receipts" localSheetId="11">OFFSET(#REF!,0,#REF!-1,1,#REF!)</definedName>
    <definedName name="Receipts">OFFSET(#REF!,0,#REF!-1,1,#REF!)</definedName>
    <definedName name="Ref">#REF!</definedName>
    <definedName name="ref_inflatEUR">#REF!</definedName>
    <definedName name="ref_inflatUSD">#REF!</definedName>
    <definedName name="REG">#REF!</definedName>
    <definedName name="regas">#REF!</definedName>
    <definedName name="RegFlusso">#REF!</definedName>
    <definedName name="regione">#REF!</definedName>
    <definedName name="Regolatore">#REF!</definedName>
    <definedName name="Reimp_area_stampa" localSheetId="8">OFFSET([0]!Stampa_compl,0,0,'CE CC opz2'!Ultima_riga)</definedName>
    <definedName name="Reimp_area_stampa" localSheetId="11">OFFSET(Stampa_compl,0,0,'QUADRO ECONOMICO'!Ultima_riga)</definedName>
    <definedName name="Reimp_area_stampa" localSheetId="9">OFFSET([0]!Stampa_compl,0,0,'RF VAL_INV opz2'!Ultima_riga)</definedName>
    <definedName name="Reimp_area_stampa" localSheetId="10">OFFSET([0]!Stampa_compl,0,0,'SP opz2'!Ultima_riga)</definedName>
    <definedName name="Reimp_area_stampa">OFFSET(Stampa_compl,0,0,Ultima_riga)</definedName>
    <definedName name="rend_cald" localSheetId="11">#REF!</definedName>
    <definedName name="rend_cald">#REF!</definedName>
    <definedName name="Resp_commessa">#REF!</definedName>
    <definedName name="Ricavi_totali">#REF!</definedName>
    <definedName name="Rich_elettrica">#REF!</definedName>
    <definedName name="Rich_idrica">#REF!</definedName>
    <definedName name="Rich_termica">#REF!</definedName>
    <definedName name="RICHIEDENTE_____GRUPPO_ENECO">#N/A</definedName>
    <definedName name="RICICLATO" localSheetId="11">OFFSET(#REF!,1,,COUNT(#REF!),)</definedName>
    <definedName name="RICICLATO">OFFSET(#REF!,1,,COUNT(#REF!),)</definedName>
    <definedName name="RICICLATOPERM">OFFSET(#REF!,1,,COUNT(#REF!),)</definedName>
    <definedName name="RICICLO">OFFSET(#REF!,1,,COUNT(#REF!)-1,)</definedName>
    <definedName name="RICICLO€">OFFSET(#REF!,1,,COUNT(#REF!)-1,)</definedName>
    <definedName name="Rid_TEE">#REF!</definedName>
    <definedName name="RIF">#REF!</definedName>
    <definedName name="Riga_intestazione">ROW(#REF!)</definedName>
    <definedName name="RINNOVABILE" localSheetId="11">OFFSET(#REF!,1,,COUNT(#REF!),)</definedName>
    <definedName name="RINNOVABILE">OFFSET(#REF!,1,,COUNT(#REF!),)</definedName>
    <definedName name="Risparmio" localSheetId="11">#REF!</definedName>
    <definedName name="Risparmio">#REF!</definedName>
    <definedName name="ROCNorm_BEG" localSheetId="11">#REF!</definedName>
    <definedName name="ROCNorm_BEG">#REF!</definedName>
    <definedName name="ROCNorm_END">#REF!</definedName>
    <definedName name="Romania">#REF!</definedName>
    <definedName name="Rotonda">#REF!</definedName>
    <definedName name="RRRRRR" localSheetId="11" hidden="1">{"français",#N/A,FALSE,"Intro";"français",#N/A,FALSE,"Index";#N/A,#N/A,FALSE,"3-Incor";#N/A,#N/A,FALSE,"4-Corpo"}</definedName>
    <definedName name="RRRRRR" hidden="1">{"français",#N/A,FALSE,"Intro";"français",#N/A,FALSE,"Index";#N/A,#N/A,FALSE,"3-Incor";#N/A,#N/A,FALSE,"4-Corpo"}</definedName>
    <definedName name="s" localSheetId="11" hidden="1">{"Coûtmarg base",#N/A,FALSE,"Coûts marginaux";"Coûtmarg ranking",#N/A,FALSE,"Coûts marginaux"}</definedName>
    <definedName name="s" hidden="1">{"Coûtmarg base",#N/A,FALSE,"Coûts marginaux";"Coûtmarg ranking",#N/A,FALSE,"Coûts marginaux"}</definedName>
    <definedName name="S\V_equivalente">#REF!</definedName>
    <definedName name="Sal_fin">#REF!</definedName>
    <definedName name="Sal_iniz">#REF!</definedName>
    <definedName name="Sales" localSheetId="11">OFFSET(#REF!,0,#REF!-1,1,#REF!)</definedName>
    <definedName name="Sales">OFFSET(#REF!,0,#REF!-1,1,#REF!)</definedName>
    <definedName name="SAPBEXrevision" hidden="1">2</definedName>
    <definedName name="SAPBEXsysID" hidden="1">"TP2"</definedName>
    <definedName name="SAPBEXwbID" hidden="1">"3U60W8N8WFVSYP46DE41173I3"</definedName>
    <definedName name="Sas">#REF!</definedName>
    <definedName name="Sbraccio" localSheetId="11">#REF!</definedName>
    <definedName name="Sbraccio">#REF!</definedName>
    <definedName name="Sbraccio_SEM" localSheetId="11">#REF!</definedName>
    <definedName name="Sbraccio_SEM">#REF!</definedName>
    <definedName name="Scenariii">#REF!</definedName>
    <definedName name="sconto_f1">#REF!</definedName>
    <definedName name="sconto_f2">#REF!</definedName>
    <definedName name="sconto_f3">#REF!</definedName>
    <definedName name="sconto_f4">#REF!</definedName>
    <definedName name="SDFSDF" localSheetId="8">IF(Loan_Amount*Interest_Rate*Loan_Years*Loan_Start&gt;0,1,0)</definedName>
    <definedName name="SDFSDF" localSheetId="11">IF(Loan_Amount*Interest_Rate*Loan_Years*Loan_Start&gt;0,1,0)</definedName>
    <definedName name="SDFSDF" localSheetId="9">IF(Loan_Amount*Interest_Rate*Loan_Years*Loan_Start&gt;0,1,0)</definedName>
    <definedName name="SDFSDF" localSheetId="10">IF(Loan_Amount*Interest_Rate*Loan_Years*Loan_Start&gt;0,1,0)</definedName>
    <definedName name="SDFSDF">IF(Loan_Amount*Interest_Rate*Loan_Years*Loan_Start&gt;0,1,0)</definedName>
    <definedName name="secco_in" localSheetId="11">#REF!</definedName>
    <definedName name="secco_in">#REF!</definedName>
    <definedName name="secco_out" localSheetId="11">#REF!</definedName>
    <definedName name="secco_out">#REF!</definedName>
    <definedName name="Secondo_Ritardo_Closed" localSheetId="11">OFFSET(#REF!,0,#REF!,1,#REF!)</definedName>
    <definedName name="Secondo_Ritardo_Closed">OFFSET(#REF!,0,#REF!,1,#REF!)</definedName>
    <definedName name="Sedi">#REF!</definedName>
    <definedName name="sencount" hidden="1">1</definedName>
    <definedName name="Senior_repayments">#REF!</definedName>
    <definedName name="sensiB">#REF!</definedName>
    <definedName name="Senso_Unico">#REF!</definedName>
    <definedName name="SerieEtichettaAsseCONTOT" localSheetId="11">OFFSET(#REF!,1,0,COUNTA(#REF!)-1,)</definedName>
    <definedName name="SerieEtichettaAsseCONTOT">OFFSET(#REF!,1,0,COUNTA(#REF!)-1,)</definedName>
    <definedName name="SerieEtichettaAsseNOTOT">OFFSET(#REF!,1,0,COUNTA(#REF!)-2,)</definedName>
    <definedName name="Server">#REF!</definedName>
    <definedName name="Sesto_Ritardo_Closed">OFFSET(#REF!,0,#REF!,1,#REF!)</definedName>
    <definedName name="set_1">#REF!</definedName>
    <definedName name="Settimo_Ritardo_Closed">OFFSET(#REF!,0,#REF!,1,#REF!)</definedName>
    <definedName name="SGGG" localSheetId="11" hidden="1">{"français",#N/A,FALSE,"Intro";"français",#N/A,FALSE,"Index";#N/A,#N/A,FALSE,"3-Incor";#N/A,#N/A,FALSE,"4-Corpo"}</definedName>
    <definedName name="SGGG" hidden="1">{"français",#N/A,FALSE,"Intro";"français",#N/A,FALSE,"Index";#N/A,#N/A,FALSE,"3-Incor";#N/A,#N/A,FALSE,"4-Corpo"}</definedName>
    <definedName name="Show.Acct.Update.Warning" hidden="1">#REF!</definedName>
    <definedName name="Show.MDB.Update.Warning" hidden="1">#REF!</definedName>
    <definedName name="show_TdB" localSheetId="11">#REF!,#REF!,#REF!,#REF!,#REF!</definedName>
    <definedName name="show_TdB">#REF!,#REF!,#REF!,#REF!,#REF!</definedName>
    <definedName name="SISAD" localSheetId="11" hidden="1">{"français",#N/A,FALSE,"Intro";"français",#N/A,FALSE,"Index";#N/A,#N/A,FALSE,"3-Incor";#N/A,#N/A,FALSE,"4-Corpo"}</definedName>
    <definedName name="SISAD" hidden="1">{"français",#N/A,FALSE,"Intro";"français",#N/A,FALSE,"Index";#N/A,#N/A,FALSE,"3-Incor";#N/A,#N/A,FALSE,"4-Corpo"}</definedName>
    <definedName name="Site" localSheetId="14">#REF!</definedName>
    <definedName name="Site" localSheetId="13">#REF!</definedName>
    <definedName name="Site">#REF!</definedName>
    <definedName name="SmaltRif" localSheetId="14">#REF!</definedName>
    <definedName name="SmaltRif" localSheetId="13">#REF!</definedName>
    <definedName name="SmaltRif">#REF!</definedName>
    <definedName name="solver_lhs19" localSheetId="11" hidden="1">#REF!</definedName>
    <definedName name="solver_lhs19" hidden="1">#REF!</definedName>
    <definedName name="solver_lhs20" localSheetId="11" hidden="1">#REF!</definedName>
    <definedName name="solver_lhs20" hidden="1">#REF!</definedName>
    <definedName name="solver_rel19" hidden="1">3</definedName>
    <definedName name="solver_rel20" hidden="1">3</definedName>
    <definedName name="solver_rhs19" hidden="1">0</definedName>
    <definedName name="solver_rhs20" hidden="1">0</definedName>
    <definedName name="Sorgente" localSheetId="11">#REF!</definedName>
    <definedName name="Sorgente">#REF!</definedName>
    <definedName name="Sorgente_SEM" localSheetId="11">#REF!</definedName>
    <definedName name="Sorgente_SEM">#REF!</definedName>
    <definedName name="SOST_SEM" localSheetId="11">#REF!</definedName>
    <definedName name="SOST_SEM">#REF!</definedName>
    <definedName name="spazio">#REF!</definedName>
    <definedName name="SPECIAL_1">#REF!</definedName>
    <definedName name="SPECIAL_2">#REF!</definedName>
    <definedName name="SPECIAL1">#REF!</definedName>
    <definedName name="Speciali_2">#REF!</definedName>
    <definedName name="SPESA_MEDIA_ANNUA_MANUTENZIONE_ORDINARIA_NON_IVATA">#REF!</definedName>
    <definedName name="ss" localSheetId="14" hidden="1">{#N/A,#N/A,FALSE,"P&amp;L-BS-CF"}</definedName>
    <definedName name="ss" localSheetId="11" hidden="1">{#N/A,#N/A,FALSE,"P&amp;L-BS-CF"}</definedName>
    <definedName name="ss" localSheetId="13" hidden="1">{#N/A,#N/A,FALSE,"P&amp;L-BS-CF"}</definedName>
    <definedName name="ss" hidden="1">{#N/A,#N/A,FALSE,"P&amp;L-BS-CF"}</definedName>
    <definedName name="SSS" localSheetId="11" hidden="1">{"français",#N/A,FALSE,"Intro";"français",#N/A,FALSE,"Index";#N/A,#N/A,FALSE,"3-Incor";#N/A,#N/A,FALSE,"4-Corpo"}</definedName>
    <definedName name="SSS" hidden="1">{"français",#N/A,FALSE,"Intro";"français",#N/A,FALSE,"Index";#N/A,#N/A,FALSE,"3-Incor";#N/A,#N/A,FALSE,"4-Corpo"}</definedName>
    <definedName name="ssss">#REF!</definedName>
    <definedName name="Stampa_compl">#REF!</definedName>
    <definedName name="Stampa_le_aree">#N/A</definedName>
    <definedName name="Stampa_le_aree_15">#N/A</definedName>
    <definedName name="Stampa_le_aree_16">#N/A</definedName>
    <definedName name="Stampa_le_aree_17">#N/A</definedName>
    <definedName name="Start_dates">#REF!</definedName>
    <definedName name="Start_dates_monthly">#REF!</definedName>
    <definedName name="Stato_1" localSheetId="11">#REF!</definedName>
    <definedName name="Stato_1">#REF!</definedName>
    <definedName name="Stato_2">#REF!</definedName>
    <definedName name="Stato_Armadio">#REF!</definedName>
    <definedName name="Stato_ArmadioNA">#REF!</definedName>
    <definedName name="Stato_ArmadioNC">#REF!</definedName>
    <definedName name="Stato_Cemento">#REF!</definedName>
    <definedName name="Stato_No_Sbr">#REF!</definedName>
    <definedName name="Stato_Non_Vern">#REF!</definedName>
    <definedName name="Stato_QE_Cavi_Linee">#REF!</definedName>
    <definedName name="Stato_QENA">#REF!</definedName>
    <definedName name="Stato_Sbr_Cemento">#REF!</definedName>
    <definedName name="Stato_Sbr_Non_Vern">#REF!</definedName>
    <definedName name="Stato_Sbr_Vern">#REF!</definedName>
    <definedName name="Stato_SEM">#REF!</definedName>
    <definedName name="Stato_Sost">#REF!</definedName>
    <definedName name="StatoAll">#REF!</definedName>
    <definedName name="StatoCorIll">#REF!</definedName>
    <definedName name="StatoDisp">#REF!</definedName>
    <definedName name="stoccagip">#REF!</definedName>
    <definedName name="Sub_repayments">#REF!</definedName>
    <definedName name="Subject">#REF!</definedName>
    <definedName name="sup.est">#REF!</definedName>
    <definedName name="T">#REF!</definedName>
    <definedName name="tab">#REF!</definedName>
    <definedName name="tab_in_ACQUA">#REF!</definedName>
    <definedName name="tab_in_ALTRI_MATERIALI">#REF!</definedName>
    <definedName name="tab_in_COMPONENTI_ELETTRICHE">#REF!</definedName>
    <definedName name="tab_in_EDILIZIA">#REF!</definedName>
    <definedName name="tab_in_FERROSI">#REF!</definedName>
    <definedName name="tab_in_GOMMA">#REF!</definedName>
    <definedName name="tab_in_IMBALLAGGI">#REF!</definedName>
    <definedName name="tab_in_LEGNI">#REF!</definedName>
    <definedName name="tab_in_LEGNI_ALTRO">#REF!</definedName>
    <definedName name="tab_in_MULTIMATERIALI">#REF!</definedName>
    <definedName name="tab_in_NON_FERROSI">#REF!</definedName>
    <definedName name="tab_in_PELLE">#REF!</definedName>
    <definedName name="tab_in_PLASTICHE">#REF!</definedName>
    <definedName name="tab_in_TESSUTI">#REF!</definedName>
    <definedName name="tab_in_TRASPORTO">#REF!</definedName>
    <definedName name="tab_in_VETRI">#REF!</definedName>
    <definedName name="Tab_Leini" localSheetId="11">#REF!</definedName>
    <definedName name="Tab_Leini">#REF!</definedName>
    <definedName name="Tab_montemartini" localSheetId="11">#REF!</definedName>
    <definedName name="Tab_montemartini">#REF!</definedName>
    <definedName name="Tab_Napoli" localSheetId="11">#REF!</definedName>
    <definedName name="Tab_Napoli">#REF!</definedName>
    <definedName name="tab_out_COMPONENTI_ELETTRICHE">#REF!</definedName>
    <definedName name="tab_out_EDILIZIA">#REF!</definedName>
    <definedName name="tab_out_FERROSI">#REF!</definedName>
    <definedName name="tab_out_GOMMA">#REF!</definedName>
    <definedName name="tab_out_IMBALLAGGI">#REF!</definedName>
    <definedName name="tab_out_LEGNI">#REF!</definedName>
    <definedName name="tab_out_MULTIMATERIALI">#REF!</definedName>
    <definedName name="tab_out_NON_FERROSI">#REF!</definedName>
    <definedName name="tab_out_PLASTICHE_DA_PRODOTTI">#REF!</definedName>
    <definedName name="tab_out_TESSUTI">#REF!</definedName>
    <definedName name="tab_out_VETRI_NON_DA_IMBALLAGGIO">#REF!</definedName>
    <definedName name="Tab_Parametri" localSheetId="11">#REF!</definedName>
    <definedName name="Tab_Parametri">#REF!</definedName>
    <definedName name="Tab_Pontinia" localSheetId="11">#REF!</definedName>
    <definedName name="Tab_Pontinia">#REF!</definedName>
    <definedName name="Tab_Roselectra" localSheetId="11">#REF!</definedName>
    <definedName name="Tab_Roselectra">#REF!</definedName>
    <definedName name="tab_saison_marches">#REF!</definedName>
    <definedName name="Tab_Testata">#REF!</definedName>
    <definedName name="Tab_TorDiValle">#REF!</definedName>
    <definedName name="Tab_Torre">#REF!</definedName>
    <definedName name="Tab_TorreCST">#REF!</definedName>
    <definedName name="Tab_TorreS3">#REF!</definedName>
    <definedName name="Tab_Vado">#REF!</definedName>
    <definedName name="Tab_VadoCST">#REF!</definedName>
    <definedName name="Tab_VadoL4">#REF!</definedName>
    <definedName name="Tab_Voghera">#REF!</definedName>
    <definedName name="Tabella">#REF!</definedName>
    <definedName name="Tabella_iniz_bil">#REF!</definedName>
    <definedName name="Tabella_int_prec">#REF!</definedName>
    <definedName name="Tabella_prezzi">#N/A</definedName>
    <definedName name="tabellaMAG">#REF!</definedName>
    <definedName name="Tabelle_R" localSheetId="11">#REF!</definedName>
    <definedName name="Tabelle_R">#REF!</definedName>
    <definedName name="TABENTI" localSheetId="11">#REF!</definedName>
    <definedName name="TABENTI">#REF!</definedName>
    <definedName name="TABLE">#REF!</definedName>
    <definedName name="TABMIN2012">#REF!</definedName>
    <definedName name="TABMIN2013">#REF!</definedName>
    <definedName name="TABRIF">#REF!</definedName>
    <definedName name="TABSOC">#REF!</definedName>
    <definedName name="tasso">#REF!</definedName>
    <definedName name="Tasso_att">#REF!</definedName>
    <definedName name="Tasso_int_annuo">#REF!</definedName>
    <definedName name="Tasso_inter_annuale">#REF!</definedName>
    <definedName name="Tasso_interesse">#REF!</definedName>
    <definedName name="Tasso_interessi_annuo">#REF!</definedName>
    <definedName name="Tasso_periodico" localSheetId="11">Tasso_int_annuo/Num_rate_annuali</definedName>
    <definedName name="Tasso_periodico">Tasso_int_annuo/Num_rate_annuali</definedName>
    <definedName name="Taux" localSheetId="11">#REF!</definedName>
    <definedName name="Taux">#REF!</definedName>
    <definedName name="TCT00" localSheetId="11">#REF!</definedName>
    <definedName name="TCT00">#REF!</definedName>
    <definedName name="Tecnologia" localSheetId="14">#REF!</definedName>
    <definedName name="Tecnologia" localSheetId="13">#REF!</definedName>
    <definedName name="Tecnologia">#REF!</definedName>
    <definedName name="TEE" localSheetId="11">#REF!</definedName>
    <definedName name="TEE">#REF!</definedName>
    <definedName name="Tele" localSheetId="11">#REF!</definedName>
    <definedName name="Tele">#REF!</definedName>
    <definedName name="TemperaturaSaturo" localSheetId="11">#REF!</definedName>
    <definedName name="TemperaturaSaturo">#REF!</definedName>
    <definedName name="TemperaturaVapDaEntalp">#REF!</definedName>
    <definedName name="tendaggi">#REF!</definedName>
    <definedName name="Tensione">#REF!</definedName>
    <definedName name="terminalvalue">#REF!</definedName>
    <definedName name="Terra">#REF!</definedName>
    <definedName name="TERZI_1">#REF!</definedName>
    <definedName name="TERZI_2">#REF!</definedName>
    <definedName name="TERZI1">#REF!</definedName>
    <definedName name="TERZI2">#REF!</definedName>
    <definedName name="Terzo_Ritardo_Closed" localSheetId="11">OFFSET(#REF!,0,#REF!,1,#REF!)</definedName>
    <definedName name="Terzo_Ritardo_Closed">OFFSET(#REF!,0,#REF!,1,#REF!)</definedName>
    <definedName name="test" localSheetId="14" hidden="1">{#N/A,#N/A,FALSE,"Aging Summary";#N/A,#N/A,FALSE,"Ratio Analysis";#N/A,#N/A,FALSE,"Test 120 Day Accts";#N/A,#N/A,FALSE,"Tickmarks"}</definedName>
    <definedName name="test" localSheetId="11" hidden="1">{#N/A,#N/A,FALSE,"Aging Summary";#N/A,#N/A,FALSE,"Ratio Analysis";#N/A,#N/A,FALSE,"Test 120 Day Accts";#N/A,#N/A,FALSE,"Tickmarks"}</definedName>
    <definedName name="test" localSheetId="1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01" localSheetId="14" hidden="1">{#N/A,#N/A,FALSE,"Aging Summary";#N/A,#N/A,FALSE,"Ratio Analysis";#N/A,#N/A,FALSE,"Test 120 Day Accts";#N/A,#N/A,FALSE,"Tickmarks"}</definedName>
    <definedName name="test_01" localSheetId="11" hidden="1">{#N/A,#N/A,FALSE,"Aging Summary";#N/A,#N/A,FALSE,"Ratio Analysis";#N/A,#N/A,FALSE,"Test 120 Day Accts";#N/A,#N/A,FALSE,"Tickmarks"}</definedName>
    <definedName name="test_01" localSheetId="13" hidden="1">{#N/A,#N/A,FALSE,"Aging Summary";#N/A,#N/A,FALSE,"Ratio Analysis";#N/A,#N/A,FALSE,"Test 120 Day Accts";#N/A,#N/A,FALSE,"Tickmarks"}</definedName>
    <definedName name="test_01" hidden="1">{#N/A,#N/A,FALSE,"Aging Summary";#N/A,#N/A,FALSE,"Ratio Analysis";#N/A,#N/A,FALSE,"Test 120 Day Accts";#N/A,#N/A,FALSE,"Tickmarks"}</definedName>
    <definedName name="TF_END">#REF!</definedName>
    <definedName name="TGTGG" localSheetId="11" hidden="1">{"français",#N/A,FALSE,"Intro";"français",#N/A,FALSE,"Index";#N/A,#N/A,FALSE,"3-Incor";#N/A,#N/A,FALSE,"4-Corpo"}</definedName>
    <definedName name="TGTGG" hidden="1">{"français",#N/A,FALSE,"Intro";"français",#N/A,FALSE,"Index";#N/A,#N/A,FALSE,"3-Incor";#N/A,#N/A,FALSE,"4-Corpo"}</definedName>
    <definedName name="ti_T1" localSheetId="11">#REF!</definedName>
    <definedName name="ti_T1">#REF!</definedName>
    <definedName name="ti_T2" localSheetId="11">#REF!</definedName>
    <definedName name="ti_T2">#REF!</definedName>
    <definedName name="ti_T3" localSheetId="11">#REF!</definedName>
    <definedName name="ti_T3">#REF!</definedName>
    <definedName name="ti_T4" localSheetId="11">#REF!</definedName>
    <definedName name="ti_T4">#REF!</definedName>
    <definedName name="ti_T5" localSheetId="11">#REF!</definedName>
    <definedName name="ti_T5">#REF!</definedName>
    <definedName name="ti_T6" localSheetId="11">#REF!</definedName>
    <definedName name="ti_T6">#REF!</definedName>
    <definedName name="ti_T7" localSheetId="11">#REF!</definedName>
    <definedName name="ti_T7">#REF!</definedName>
    <definedName name="ti_T8" localSheetId="11">#REF!</definedName>
    <definedName name="ti_T8">#REF!</definedName>
    <definedName name="ti_T9" localSheetId="11">#REF!</definedName>
    <definedName name="ti_T9">#REF!</definedName>
    <definedName name="timing" localSheetId="11">#REF!</definedName>
    <definedName name="timing">#REF!</definedName>
    <definedName name="Timing_in_year" localSheetId="14">#REF!</definedName>
    <definedName name="Timing_in_year" localSheetId="13">#REF!</definedName>
    <definedName name="Timing_in_year">#REF!</definedName>
    <definedName name="Timing_years" localSheetId="14">#REF!</definedName>
    <definedName name="Timing_years" localSheetId="13">#REF!</definedName>
    <definedName name="Timing_years">#REF!</definedName>
    <definedName name="Tipo_Sost" localSheetId="11">#REF!</definedName>
    <definedName name="Tipo_Sost">#REF!</definedName>
    <definedName name="tipo_vetro" localSheetId="11">#REF!</definedName>
    <definedName name="tipo_vetro">#REF!</definedName>
    <definedName name="TipoAlim" localSheetId="11">#REF!</definedName>
    <definedName name="TipoAlim">#REF!</definedName>
    <definedName name="TipoArmadio">#REF!</definedName>
    <definedName name="TipoCorIll">#REF!</definedName>
    <definedName name="TipoLampada">#REF!</definedName>
    <definedName name="TipoLinAlim">#REF!</definedName>
    <definedName name="tipologia" localSheetId="11">#REF!</definedName>
    <definedName name="tipologia">#REF!</definedName>
    <definedName name="Tipologia_Caldaie" localSheetId="11">#REF!</definedName>
    <definedName name="Tipologia_Caldaie">#REF!</definedName>
    <definedName name="Tipologiafornitura" localSheetId="11">#REF!</definedName>
    <definedName name="Tipologiafornitura">#REF!</definedName>
    <definedName name="TipoMensola" localSheetId="11">#REF!</definedName>
    <definedName name="TipoMensola">#REF!</definedName>
    <definedName name="TipSostegno" localSheetId="11">#REF!</definedName>
    <definedName name="TipSostegno">#REF!</definedName>
    <definedName name="TITLE" localSheetId="11">#REF!</definedName>
    <definedName name="TITLE">#REF!</definedName>
    <definedName name="_xlnm.Print_Titles" localSheetId="14">'IP servizio'!$1:$4</definedName>
    <definedName name="TNMN">#REF!</definedName>
    <definedName name="To">#REF!</definedName>
    <definedName name="toponimo" localSheetId="11">#REF!</definedName>
    <definedName name="toponimo">#REF!</definedName>
    <definedName name="TORSAN" localSheetId="11" hidden="1">{"français",#N/A,FALSE,"Intro";"français",#N/A,FALSE,"Index";#N/A,#N/A,FALSE,"3-Incor";#N/A,#N/A,FALSE,"4-Corpo"}</definedName>
    <definedName name="TORSAN" hidden="1">{"français",#N/A,FALSE,"Intro";"français",#N/A,FALSE,"Index";#N/A,#N/A,FALSE,"3-Incor";#N/A,#N/A,FALSE,"4-Corpo"}</definedName>
    <definedName name="tot">#REF!</definedName>
    <definedName name="TOT_COSTI">#REF!</definedName>
    <definedName name="Total_pagam">#REF!</definedName>
    <definedName name="Totalàfinancer">#REF!</definedName>
    <definedName name="Totale_PL">#REF!</definedName>
    <definedName name="Totali_Mesi_VF">#N/A</definedName>
    <definedName name="TP_opex">#REF!</definedName>
    <definedName name="TPover">#REF!</definedName>
    <definedName name="Trend_Analysis" localSheetId="11">OFFSET(#REF!,0,0,#REF!,4)</definedName>
    <definedName name="Trend_Analysis">OFFSET(#REF!,0,0,#REF!,4)</definedName>
    <definedName name="trim">#REF!</definedName>
    <definedName name="trim_ref_0">#REF!</definedName>
    <definedName name="trim_ref_1">#REF!</definedName>
    <definedName name="trim_ref_2">#REF!</definedName>
    <definedName name="trim_ref_3">#REF!</definedName>
    <definedName name="trimPrec">#REF!</definedName>
    <definedName name="TSAT">#REF!</definedName>
    <definedName name="ttt" localSheetId="11">#REF!</definedName>
    <definedName name="ttt">#REF!</definedName>
    <definedName name="tttttt" localSheetId="11">#REF!</definedName>
    <definedName name="tttttt">#REF!</definedName>
    <definedName name="Ultima" localSheetId="11">#REF!</definedName>
    <definedName name="Ultima">#REF!</definedName>
    <definedName name="Ultima_riga" localSheetId="8">IF(Valori_immessi,[0]!Riga_intestazione+[0]!Numero_di_pagamenti,[0]!Riga_intestazione)</definedName>
    <definedName name="Ultima_riga" localSheetId="11">IF(Valori_immessi,Riga_intestazione+'QUADRO ECONOMICO'!Numero_di_pagamenti,Riga_intestazione)</definedName>
    <definedName name="Ultima_riga" localSheetId="9">IF(Valori_immessi,[0]!Riga_intestazione+[0]!Numero_di_pagamenti,[0]!Riga_intestazione)</definedName>
    <definedName name="Ultima_riga" localSheetId="10">IF(Valori_immessi,[0]!Riga_intestazione+[0]!Numero_di_pagamenti,[0]!Riga_intestazione)</definedName>
    <definedName name="Ultima_riga">IF(Valori_immessi,Riga_intestazione+Numero_di_pagamenti,Riga_intestazione)</definedName>
    <definedName name="umido_in" localSheetId="11">#REF!</definedName>
    <definedName name="umido_in">#REF!</definedName>
    <definedName name="umido_out" localSheetId="11">#REF!</definedName>
    <definedName name="umido_out">#REF!</definedName>
    <definedName name="User" localSheetId="11">#REF!</definedName>
    <definedName name="User">#REF!</definedName>
    <definedName name="User_Dir">#REF!</definedName>
    <definedName name="User_Login">#REF!</definedName>
    <definedName name="User_Root">#REF!</definedName>
    <definedName name="userDesc">#REF!</definedName>
    <definedName name="USO" localSheetId="11">OFFSET(#REF!,2,,COUNT(#REF!)-1,)</definedName>
    <definedName name="USO">OFFSET(#REF!,2,,COUNT(#REF!)-1,)</definedName>
    <definedName name="uui" localSheetId="14" hidden="1">{#N/A,#N/A,FALSE,"Aging Summary";#N/A,#N/A,FALSE,"Ratio Analysis";#N/A,#N/A,FALSE,"Test 120 Day Accts";#N/A,#N/A,FALSE,"Tickmarks"}</definedName>
    <definedName name="uui" localSheetId="11" hidden="1">{#N/A,#N/A,FALSE,"Aging Summary";#N/A,#N/A,FALSE,"Ratio Analysis";#N/A,#N/A,FALSE,"Test 120 Day Accts";#N/A,#N/A,FALSE,"Tickmarks"}</definedName>
    <definedName name="uui" localSheetId="13" hidden="1">{#N/A,#N/A,FALSE,"Aging Summary";#N/A,#N/A,FALSE,"Ratio Analysis";#N/A,#N/A,FALSE,"Test 120 Day Accts";#N/A,#N/A,FALSE,"Tickmarks"}</definedName>
    <definedName name="uui" hidden="1">{#N/A,#N/A,FALSE,"Aging Summary";#N/A,#N/A,FALSE,"Ratio Analysis";#N/A,#N/A,FALSE,"Test 120 Day Accts";#N/A,#N/A,FALSE,"Tickmarks"}</definedName>
    <definedName name="UUUUUU" localSheetId="11" hidden="1">{"français",#N/A,FALSE,"Intro";"français",#N/A,FALSE,"Index";#N/A,#N/A,FALSE,"3-Incor";#N/A,#N/A,FALSE,"4-Corpo"}</definedName>
    <definedName name="UUUUUU" hidden="1">{"français",#N/A,FALSE,"Intro";"français",#N/A,FALSE,"Index";#N/A,#N/A,FALSE,"3-Incor";#N/A,#N/A,FALSE,"4-Corpo"}</definedName>
    <definedName name="VALEN">OFFSET(#REF!,1,,COUNT(#REF!)-1,)</definedName>
    <definedName name="VALEN€">OFFSET(#REF!,1,,COUNT(#REF!)-1,)</definedName>
    <definedName name="ValeurResid">#REF!</definedName>
    <definedName name="ValImp" localSheetId="14">#REF!</definedName>
    <definedName name="ValImp" localSheetId="13">#REF!</definedName>
    <definedName name="ValImp">#REF!</definedName>
    <definedName name="Values_Entered" localSheetId="8">IF(Loan_Amount*Interest_Rate*Loan_Years*Loan_Start&gt;0,1,0)</definedName>
    <definedName name="Values_Entered" localSheetId="11">IF(Loan_Amount*Interest_Rate*Loan_Years*Loan_Start&gt;0,1,0)</definedName>
    <definedName name="Values_Entered" localSheetId="9">IF(Loan_Amount*Interest_Rate*Loan_Years*Loan_Start&gt;0,1,0)</definedName>
    <definedName name="Values_Entered" localSheetId="10">IF(Loan_Amount*Interest_Rate*Loan_Years*Loan_Start&gt;0,1,0)</definedName>
    <definedName name="Values_Entered">IF(Loan_Amount*Interest_Rate*Loan_Years*Loan_Start&gt;0,1,0)</definedName>
    <definedName name="VARI_1" localSheetId="11">#REF!</definedName>
    <definedName name="VARI_1">#REF!</definedName>
    <definedName name="VARIE_1" localSheetId="11">#REF!</definedName>
    <definedName name="VARIE_1">#REF!</definedName>
    <definedName name="VARIE_2" localSheetId="11">#REF!</definedName>
    <definedName name="VARIE_2">#REF!</definedName>
    <definedName name="Varie_3">#REF!</definedName>
    <definedName name="VBAdvanced.VB_Branch_Example" localSheetId="14">'IP servizio'!VBAdvanced.VB_Branch_Example</definedName>
    <definedName name="VBAdvanced.VB_Branch_Example" localSheetId="11">'QUADRO ECONOMICO'!VBAdvanced.VB_Branch_Example</definedName>
    <definedName name="VBAdvanced.VB_Branch_Example" localSheetId="13">#REF!</definedName>
    <definedName name="VBAdvanced.VB_Branch_Example">[0]!VBAdvanced.VB_Branch_Example</definedName>
    <definedName name="VBAdvanced.VB_GetWindowsDirectory" localSheetId="14">'IP servizio'!VBAdvanced.VB_GetWindowsDirectory</definedName>
    <definedName name="VBAdvanced.VB_GetWindowsDirectory" localSheetId="11">'QUADRO ECONOMICO'!VBAdvanced.VB_GetWindowsDirectory</definedName>
    <definedName name="VBAdvanced.VB_GetWindowsDirectory" localSheetId="13">#REF!</definedName>
    <definedName name="VBAdvanced.VB_GetWindowsDirectory">[0]!VBAdvanced.VB_GetWindowsDirectory</definedName>
    <definedName name="VERGINE" localSheetId="11">OFFSET(#REF!,1,,COUNT(#REF!),)</definedName>
    <definedName name="VERGINE">OFFSET(#REF!,1,,COUNT(#REF!),)</definedName>
    <definedName name="Voto">#REF!</definedName>
    <definedName name="WhichPlan" localSheetId="14">#REF!</definedName>
    <definedName name="WhichPlan" localSheetId="13">#REF!</definedName>
    <definedName name="WhichPlan">#REF!</definedName>
    <definedName name="wrn.Aging._.and._.Trend._.Analysis." localSheetId="14" hidden="1">{#N/A,#N/A,FALSE,"Aging Summary";#N/A,#N/A,FALSE,"Ratio Analysis";#N/A,#N/A,FALSE,"Test 120 Day Accts";#N/A,#N/A,FALSE,"Tickmarks"}</definedName>
    <definedName name="wrn.Aging._.and._.Trend._.Analysis." localSheetId="11" hidden="1">{#N/A,#N/A,FALSE,"Aging Summary";#N/A,#N/A,FALSE,"Ratio Analysis";#N/A,#N/A,FALSE,"Test 120 Day Accts";#N/A,#N/A,FALSE,"Tickmarks"}</definedName>
    <definedName name="wrn.Aging._.and._.Trend._.Analysis." localSheetId="1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ssumption._.Book." localSheetId="11" hidden="1">{#N/A,#N/A,FALSE,"Model Assumptions"}</definedName>
    <definedName name="wrn.Assumption._.Book." hidden="1">{#N/A,#N/A,FALSE,"Model Assumptions"}</definedName>
    <definedName name="wrn.Calcul._.coûts._.marginaux." localSheetId="11" hidden="1">{"Calcul coûts marginaux",#N/A,FALSE,"Calcul coûts marginaux"}</definedName>
    <definedName name="wrn.Calcul._.coûts._.marginaux." hidden="1">{"Calcul coûts marginaux",#N/A,FALSE,"Calcul coûts marginaux"}</definedName>
    <definedName name="wrn.Contenu." localSheetId="11" hidden="1">{"Contenu",#N/A,FALSE,"Contenu"}</definedName>
    <definedName name="wrn.Contenu." hidden="1">{"Contenu",#N/A,FALSE,"Contenu"}</definedName>
    <definedName name="wrn.Données._.de._.base." localSheetId="11" hidden="1">{"Communes 1",#N/A,FALSE,"Données générales";"Communes2",#N/A,FALSE,"Données générales";"Données TGV",#N/A,FALSE,"Données TGV réf"}</definedName>
    <definedName name="wrn.Données._.de._.base." hidden="1">{"Communes 1",#N/A,FALSE,"Données générales";"Communes2",#N/A,FALSE,"Données générales";"Données TGV",#N/A,FALSE,"Données TGV réf"}</definedName>
    <definedName name="wrn.Fascicolo._.Tecnico." localSheetId="11" hidden="1">{"Input",#N/A,TRUE,"INPUT";"wacc",#N/A,TRUE,"WACC";"Sviluppo",#N/A,TRUE,"Sviluppo";"Dati",#N/A,TRUE,"Dati";"Riepilogo",#N/A,TRUE,"Riepilogo"}</definedName>
    <definedName name="wrn.Fascicolo._.Tecnico." hidden="1">{"Input",#N/A,TRUE,"INPUT";"wacc",#N/A,TRUE,"WACC";"Sviluppo",#N/A,TRUE,"Sviluppo";"Dati",#N/A,TRUE,"Dati";"Riepilogo",#N/A,TRUE,"Riepilogo"}</definedName>
    <definedName name="wrn.français." localSheetId="11" hidden="1">{"français",#N/A,FALSE,"Intro";"français",#N/A,FALSE,"Index";#N/A,#N/A,FALSE,"3-Incor";#N/A,#N/A,FALSE,"4-Corpo"}</definedName>
    <definedName name="wrn.français." hidden="1">{"français",#N/A,FALSE,"Intro";"français",#N/A,FALSE,"Index";#N/A,#N/A,FALSE,"3-Incor";#N/A,#N/A,FALSE,"4-Corpo"}</definedName>
    <definedName name="wrn.Graphes." localSheetId="11" hidden="1">{"Graphe ranking",#N/A,FALSE,"Coûts marginaux";"Graphes NPV annuité",#N/A,FALSE,"Coûts marginaux";"Graphe annuité couts",#N/A,FALSE,"Coûts marginaux";"Graphe perpétuité",#N/A,FALSE,"Coûts marginaux";"Graphe prix vs coût",#N/A,FALSE,"Coûts marginaux";"Graphe puissance",#N/A,FALSE,"Coûts marginaux";"Graphe fonct",#N/A,FALSE,"Coûts marginaux";"Graphe efficience",#N/A,FALSE,"Coûts marginaux";"Graphe durée vie",#N/A,FALSE,"Coûts marginaux";"Prod graphe",#N/A,FALSE,"Prod cumulée"}</definedName>
    <definedName name="wrn.Graphes." hidden="1">{"Graphe ranking",#N/A,FALSE,"Coûts marginaux";"Graphes NPV annuité",#N/A,FALSE,"Coûts marginaux";"Graphe annuité couts",#N/A,FALSE,"Coûts marginaux";"Graphe perpétuité",#N/A,FALSE,"Coûts marginaux";"Graphe prix vs coût",#N/A,FALSE,"Coûts marginaux";"Graphe puissance",#N/A,FALSE,"Coûts marginaux";"Graphe fonct",#N/A,FALSE,"Coûts marginaux";"Graphe efficience",#N/A,FALSE,"Coûts marginaux";"Graphe durée vie",#N/A,FALSE,"Coûts marginaux";"Prod graphe",#N/A,FALSE,"Prod cumulée"}</definedName>
    <definedName name="wrn.Inputs._.outputs." localSheetId="11" hidden="1">{"key inputs",#N/A,FALSE,"Key Inputs";"key outputs",#N/A,FALSE,"Outputs";"Other inputs",#N/A,FALSE,"Other Inputs";"cashflow",#N/A,FALSE,"Statemnts"}</definedName>
    <definedName name="wrn.Inputs._.outputs." hidden="1">{"key inputs",#N/A,FALSE,"Key Inputs";"key outputs",#N/A,FALSE,"Outputs";"Other inputs",#N/A,FALSE,"Other Inputs";"cashflow",#N/A,FALSE,"Statemnts"}</definedName>
    <definedName name="wrn.Installation._.TGV._.ref." localSheetId="11" hidden="1">{"Insstall TGV 1",#N/A,FALSE,"TGV réf";"Install TGV 2",#N/A,FALSE,"TGV réf"}</definedName>
    <definedName name="wrn.Installation._.TGV._.ref." hidden="1">{"Insstall TGV 1",#N/A,FALSE,"TGV réf";"Install TGV 2",#N/A,FALSE,"TGV réf"}</definedName>
    <definedName name="wrn.mario" localSheetId="14" hidden="1">{"Area1",#N/A,TRUE,"Obiettivo";"Area2",#N/A,TRUE,"Dati per Direzione"}</definedName>
    <definedName name="wrn.mario" localSheetId="11" hidden="1">{"Area1",#N/A,TRUE,"Obiettivo";"Area2",#N/A,TRUE,"Dati per Direzione"}</definedName>
    <definedName name="wrn.mario" localSheetId="13" hidden="1">{"Area1",#N/A,TRUE,"Obiettivo";"Area2",#N/A,TRUE,"Dati per Direzione"}</definedName>
    <definedName name="wrn.mario" hidden="1">{"Area1",#N/A,TRUE,"Obiettivo";"Area2",#N/A,TRUE,"Dati per Direzione"}</definedName>
    <definedName name="wrn.Mario." localSheetId="14" hidden="1">{"Area1",#N/A,TRUE,"Obiettivo";"Area2",#N/A,TRUE,"Dati per Direzione"}</definedName>
    <definedName name="wrn.Mario." localSheetId="11" hidden="1">{"Area1",#N/A,TRUE,"Obiettivo";"Area2",#N/A,TRUE,"Dati per Direzione"}</definedName>
    <definedName name="wrn.Mario." localSheetId="13" hidden="1">{"Area1",#N/A,TRUE,"Obiettivo";"Area2",#N/A,TRUE,"Dati per Direzione"}</definedName>
    <definedName name="wrn.Mario." hidden="1">{"Area1",#N/A,TRUE,"Obiettivo";"Area2",#N/A,TRUE,"Dati per Direzione"}</definedName>
    <definedName name="wrn.Print._.Model." localSheetId="11" hidden="1">{#N/A,#N/A,TRUE,"Contents";#N/A,#N/A,TRUE,"Scenarios";#N/A,#N/A,TRUE,"SensitivitiesPower";#N/A,#N/A,TRUE,"SensitivitiesGas";#N/A,#N/A,TRUE,"SensitivitiesWater";#N/A,#N/A,TRUE,"Fixed Cost allocation table";#N/A,#N/A,TRUE,"Fixed Cost SWS Forecast";#N/A,#N/A,TRUE,"Revenue per Client";#N/A,#N/A,TRUE,"Supply margin per Client";#N/A,#N/A,TRUE,"DCFCoverPower";#N/A,#N/A,TRUE,"Power Volume &amp; Price Forecast";#N/A,#N/A,TRUE,"Assumption Book";#N/A,#N/A,TRUE,"RevenuesPower";#N/A,#N/A,TRUE,"Power Pricing";#N/A,#N/A,TRUE,"CostsPower";#N/A,#N/A,TRUE,"Power Fixco Allocation&amp;Forecast";#N/A,#N/A,TRUE,"WaccCompPower";#N/A,#N/A,TRUE,"WaccPower";#N/A,#N/A,TRUE,"MatrixPower";#N/A,#N/A,TRUE,"DCFCoverGas";#N/A,#N/A,TRUE,"CostGas";#N/A,#N/A,TRUE,"RevenuesGas";#N/A,#N/A,TRUE,"Gas Fixco Allocation&amp;Forecast";#N/A,#N/A,TRUE,"Gas Volume &amp; Price Forecast";#N/A,#N/A,TRUE,"WaccGas";#N/A,#N/A,TRUE,"WaccCompGas";#N/A,#N/A,TRUE,"MatrixGas";#N/A,#N/A,TRUE,"DCFCoverWater";#N/A,#N/A,TRUE,"Water Volume &amp; Price Forecast";#N/A,#N/A,TRUE,"Water Pricing";#N/A,#N/A,TRUE,"RevenuesWater";#N/A,#N/A,TRUE,"CostWater";#N/A,#N/A,TRUE,"WaccCompWater";#N/A,#N/A,TRUE,"WaccWater";#N/A,#N/A,TRUE,"MatrixWater";#N/A,#N/A,TRUE,"DCFCoverVersorgung";#N/A,#N/A,TRUE,"DCFOverviewPower";#N/A,#N/A,TRUE,"DCFOverviewGas";#N/A,#N/A,TRUE,"DCFOverviewWater";#N/A,#N/A,TRUE,"DCFOverviewVersorgung";#N/A,#N/A,TRUE,"ValuePower";#N/A,#N/A,TRUE,"ValueGas";#N/A,#N/A,TRUE,"ValueVersorgung";#N/A,#N/A,TRUE,"ValueWater";#N/A,#N/A,TRUE,"PlanPower";#N/A,#N/A,TRUE,"PlanGas";#N/A,#N/A,TRUE,"PlanWater";#N/A,#N/A,TRUE,"PlanVersorgung";#N/A,#N/A,TRUE,"DCFPower";#N/A,#N/A,TRUE,"DCFGas";#N/A,#N/A,TRUE,"DCFWater";#N/A,#N/A,TRUE,"DCFVersorgung";#N/A,#N/A,TRUE,"MatrixVersorgung"}</definedName>
    <definedName name="wrn.Print._.Model." hidden="1">{#N/A,#N/A,TRUE,"Contents";#N/A,#N/A,TRUE,"Scenarios";#N/A,#N/A,TRUE,"SensitivitiesPower";#N/A,#N/A,TRUE,"SensitivitiesGas";#N/A,#N/A,TRUE,"SensitivitiesWater";#N/A,#N/A,TRUE,"Fixed Cost allocation table";#N/A,#N/A,TRUE,"Fixed Cost SWS Forecast";#N/A,#N/A,TRUE,"Revenue per Client";#N/A,#N/A,TRUE,"Supply margin per Client";#N/A,#N/A,TRUE,"DCFCoverPower";#N/A,#N/A,TRUE,"Power Volume &amp; Price Forecast";#N/A,#N/A,TRUE,"Assumption Book";#N/A,#N/A,TRUE,"RevenuesPower";#N/A,#N/A,TRUE,"Power Pricing";#N/A,#N/A,TRUE,"CostsPower";#N/A,#N/A,TRUE,"Power Fixco Allocation&amp;Forecast";#N/A,#N/A,TRUE,"WaccCompPower";#N/A,#N/A,TRUE,"WaccPower";#N/A,#N/A,TRUE,"MatrixPower";#N/A,#N/A,TRUE,"DCFCoverGas";#N/A,#N/A,TRUE,"CostGas";#N/A,#N/A,TRUE,"RevenuesGas";#N/A,#N/A,TRUE,"Gas Fixco Allocation&amp;Forecast";#N/A,#N/A,TRUE,"Gas Volume &amp; Price Forecast";#N/A,#N/A,TRUE,"WaccGas";#N/A,#N/A,TRUE,"WaccCompGas";#N/A,#N/A,TRUE,"MatrixGas";#N/A,#N/A,TRUE,"DCFCoverWater";#N/A,#N/A,TRUE,"Water Volume &amp; Price Forecast";#N/A,#N/A,TRUE,"Water Pricing";#N/A,#N/A,TRUE,"RevenuesWater";#N/A,#N/A,TRUE,"CostWater";#N/A,#N/A,TRUE,"WaccCompWater";#N/A,#N/A,TRUE,"WaccWater";#N/A,#N/A,TRUE,"MatrixWater";#N/A,#N/A,TRUE,"DCFCoverVersorgung";#N/A,#N/A,TRUE,"DCFOverviewPower";#N/A,#N/A,TRUE,"DCFOverviewGas";#N/A,#N/A,TRUE,"DCFOverviewWater";#N/A,#N/A,TRUE,"DCFOverviewVersorgung";#N/A,#N/A,TRUE,"ValuePower";#N/A,#N/A,TRUE,"ValueGas";#N/A,#N/A,TRUE,"ValueVersorgung";#N/A,#N/A,TRUE,"ValueWater";#N/A,#N/A,TRUE,"PlanPower";#N/A,#N/A,TRUE,"PlanGas";#N/A,#N/A,TRUE,"PlanWater";#N/A,#N/A,TRUE,"PlanVersorgung";#N/A,#N/A,TRUE,"DCFPower";#N/A,#N/A,TRUE,"DCFGas";#N/A,#N/A,TRUE,"DCFWater";#N/A,#N/A,TRUE,"DCFVersorgung";#N/A,#N/A,TRUE,"MatrixVersorgung"}</definedName>
    <definedName name="wrn.Print._.whole._.Report." localSheetId="11" hidden="1">{#N/A,#N/A,TRUE,"WaccPower";#N/A,#N/A,TRUE,"Model Assumptions";#N/A,#N/A,TRUE,"Financial Assumptions";#N/A,#N/A,TRUE,"Scenarios";#N/A,#N/A,TRUE,"SensitivitiesPower";#N/A,#N/A,TRUE,"SensitivitiesGas";#N/A,#N/A,TRUE,"Fixed Cost allocation table";#N/A,#N/A,TRUE,"SensitivitiesWater";#N/A,#N/A,TRUE,"Fixed Cost SWS Forecast";#N/A,#N/A,TRUE,"Historic balance sheet";#N/A,#N/A,TRUE,"Revenue per Client";#N/A,#N/A,TRUE,"Supply margin per Client";#N/A,#N/A,TRUE,"Multiples Calculation";#N/A,#N/A,TRUE,"Stadtwerke Comps";#N/A,#N/A,TRUE,"Electricity Comps";#N/A,#N/A,TRUE,"Gas Comps";#N/A,#N/A,TRUE,"Water Comps";#N/A,#N/A,TRUE,"DCFCoverPower";#N/A,#N/A,TRUE,"Power Volume &amp; Price Forecast";#N/A,#N/A,TRUE,"Stromabgabe 1999";#N/A,#N/A,TRUE,"RevenuesPower";#N/A,#N/A,TRUE,"Power Pricing";#N/A,#N/A,TRUE,"CostsPower";#N/A,#N/A,TRUE,"PlanPower";#N/A,#N/A,TRUE,"DCFPower";#N/A,#N/A,TRUE,"ValuePower";#N/A,#N/A,TRUE,"WaccCompPower";#N/A,#N/A,TRUE,"MatrixPower";#N/A,#N/A,TRUE,"DCFCoverGas";#N/A,#N/A,TRUE,"DCFOverviewGas";#N/A,#N/A,TRUE,"Gas Pricing";#N/A,#N/A,TRUE,"RevenuesGas";#N/A,#N/A,TRUE,"CostGas";#N/A,#N/A,TRUE,"Gas Volume &amp; Price Forecast";#N/A,#N/A,TRUE,"PlanGas";#N/A,#N/A,TRUE,"DCFGas";#N/A,#N/A,TRUE,"ValueGas";#N/A,#N/A,TRUE,"WaccGas";#N/A,#N/A,TRUE,"WaccCompGas";#N/A,#N/A,TRUE,"MatrixGas";#N/A,#N/A,TRUE,"DCFCoverWater";#N/A,#N/A,TRUE,"DCFCoverWater";#N/A,#N/A,TRUE,"Water Volume &amp; Price Forecast";#N/A,#N/A,TRUE,"Water Pricing";#N/A,#N/A,TRUE,"RevenuesWater";#N/A,#N/A,TRUE,"CostWater";#N/A,#N/A,TRUE,"PlanWater";#N/A,#N/A,TRUE,"DCFWater";#N/A,#N/A,TRUE,"ValueWater";#N/A,#N/A,TRUE,"WaccWater";#N/A,#N/A,TRUE,"WaccCompWater";#N/A,#N/A,TRUE,"MatrixWater";#N/A,#N/A,TRUE,"DCFCoverVersorgung";#N/A,#N/A,TRUE,"DCFOverviewPower";#N/A,#N/A,TRUE,"DCFOverviewWater";#N/A,#N/A,TRUE,"DCFOverviewVersorgung";#N/A,#N/A,TRUE,"PlanVersorgung";#N/A,#N/A,TRUE,"DCFVersorgung";#N/A,#N/A,TRUE,"ValueVersorgung";#N/A,#N/A,TRUE,"WaccVersorgung";#N/A,#N/A,TRUE,"WaccCompVersorgung";#N/A,#N/A,TRUE,"MatrixVersorgung"}</definedName>
    <definedName name="wrn.Print._.whole._.Report." hidden="1">{#N/A,#N/A,TRUE,"WaccPower";#N/A,#N/A,TRUE,"Model Assumptions";#N/A,#N/A,TRUE,"Financial Assumptions";#N/A,#N/A,TRUE,"Scenarios";#N/A,#N/A,TRUE,"SensitivitiesPower";#N/A,#N/A,TRUE,"SensitivitiesGas";#N/A,#N/A,TRUE,"Fixed Cost allocation table";#N/A,#N/A,TRUE,"SensitivitiesWater";#N/A,#N/A,TRUE,"Fixed Cost SWS Forecast";#N/A,#N/A,TRUE,"Historic balance sheet";#N/A,#N/A,TRUE,"Revenue per Client";#N/A,#N/A,TRUE,"Supply margin per Client";#N/A,#N/A,TRUE,"Multiples Calculation";#N/A,#N/A,TRUE,"Stadtwerke Comps";#N/A,#N/A,TRUE,"Electricity Comps";#N/A,#N/A,TRUE,"Gas Comps";#N/A,#N/A,TRUE,"Water Comps";#N/A,#N/A,TRUE,"DCFCoverPower";#N/A,#N/A,TRUE,"Power Volume &amp; Price Forecast";#N/A,#N/A,TRUE,"Stromabgabe 1999";#N/A,#N/A,TRUE,"RevenuesPower";#N/A,#N/A,TRUE,"Power Pricing";#N/A,#N/A,TRUE,"CostsPower";#N/A,#N/A,TRUE,"PlanPower";#N/A,#N/A,TRUE,"DCFPower";#N/A,#N/A,TRUE,"ValuePower";#N/A,#N/A,TRUE,"WaccCompPower";#N/A,#N/A,TRUE,"MatrixPower";#N/A,#N/A,TRUE,"DCFCoverGas";#N/A,#N/A,TRUE,"DCFOverviewGas";#N/A,#N/A,TRUE,"Gas Pricing";#N/A,#N/A,TRUE,"RevenuesGas";#N/A,#N/A,TRUE,"CostGas";#N/A,#N/A,TRUE,"Gas Volume &amp; Price Forecast";#N/A,#N/A,TRUE,"PlanGas";#N/A,#N/A,TRUE,"DCFGas";#N/A,#N/A,TRUE,"ValueGas";#N/A,#N/A,TRUE,"WaccGas";#N/A,#N/A,TRUE,"WaccCompGas";#N/A,#N/A,TRUE,"MatrixGas";#N/A,#N/A,TRUE,"DCFCoverWater";#N/A,#N/A,TRUE,"DCFCoverWater";#N/A,#N/A,TRUE,"Water Volume &amp; Price Forecast";#N/A,#N/A,TRUE,"Water Pricing";#N/A,#N/A,TRUE,"RevenuesWater";#N/A,#N/A,TRUE,"CostWater";#N/A,#N/A,TRUE,"PlanWater";#N/A,#N/A,TRUE,"DCFWater";#N/A,#N/A,TRUE,"ValueWater";#N/A,#N/A,TRUE,"WaccWater";#N/A,#N/A,TRUE,"WaccCompWater";#N/A,#N/A,TRUE,"MatrixWater";#N/A,#N/A,TRUE,"DCFCoverVersorgung";#N/A,#N/A,TRUE,"DCFOverviewPower";#N/A,#N/A,TRUE,"DCFOverviewWater";#N/A,#N/A,TRUE,"DCFOverviewVersorgung";#N/A,#N/A,TRUE,"PlanVersorgung";#N/A,#N/A,TRUE,"DCFVersorgung";#N/A,#N/A,TRUE,"ValueVersorgung";#N/A,#N/A,TRUE,"WaccVersorgung";#N/A,#N/A,TRUE,"WaccCompVersorgung";#N/A,#N/A,TRUE,"MatrixVersorgung"}</definedName>
    <definedName name="wrn.Prod._.cumulée._._._.graphe._.tableau." localSheetId="11" hidden="1">{"Prod tableau",#N/A,FALSE,"Prod cumulée";"Prod graphe",#N/A,FALSE,"Prod cumulée"}</definedName>
    <definedName name="wrn.Prod._.cumulée._._._.graphe._.tableau." hidden="1">{"Prod tableau",#N/A,FALSE,"Prod cumulée";"Prod graphe",#N/A,FALSE,"Prod cumulée"}</definedName>
    <definedName name="wrn.Prod._.cumulée._._._.tableau." localSheetId="11" hidden="1">{"Prod tableau",#N/A,FALSE,"Prod cumulée"}</definedName>
    <definedName name="wrn.Prod._.cumulée._._._.tableau." hidden="1">{"Prod tableau",#N/A,FALSE,"Prod cumulée"}</definedName>
    <definedName name="wrn.Ranking._.coûts._.marginaux." localSheetId="11" hidden="1">{"Coûtmarg base",#N/A,FALSE,"Coûts marginaux";"Coûtmarg ranking",#N/A,FALSE,"Coûts marginaux"}</definedName>
    <definedName name="wrn.Ranking._.coûts._.marginaux." hidden="1">{"Coûtmarg base",#N/A,FALSE,"Coûts marginaux";"Coûtmarg ranking",#N/A,FALSE,"Coûts marginaux"}</definedName>
    <definedName name="wrn.Report._.Cash._.Flow." localSheetId="14" hidden="1">{#N/A,#N/A,FALSE,"P&amp;L-BS-CF"}</definedName>
    <definedName name="wrn.Report._.Cash._.Flow." localSheetId="11" hidden="1">{#N/A,#N/A,FALSE,"P&amp;L-BS-CF"}</definedName>
    <definedName name="wrn.Report._.Cash._.Flow." localSheetId="13" hidden="1">{#N/A,#N/A,FALSE,"P&amp;L-BS-CF"}</definedName>
    <definedName name="wrn.Report._.Cash._.Flow." hidden="1">{#N/A,#N/A,FALSE,"P&amp;L-BS-CF"}</definedName>
    <definedName name="wrn.Summary._.results." localSheetId="11" hidden="1">{"key inputs",#N/A,TRUE,"Key Inputs";"key outputs",#N/A,TRUE,"Outputs";"Other inputs",#N/A,TRUE,"Other Inputs";"Revenue",#N/A,TRUE,"Rev"}</definedName>
    <definedName name="wrn.Summary._.results." hidden="1">{"key inputs",#N/A,TRUE,"Key Inputs";"key outputs",#N/A,TRUE,"Outputs";"Other inputs",#N/A,TRUE,"Other Inputs";"Revenue",#N/A,TRUE,"Rev"}</definedName>
    <definedName name="wrn.Test." localSheetId="11" hidden="1">{"Input",#N/A,FALSE,"INPUT";"Sviluppo",#N/A,FALSE,"Sviluppo"}</definedName>
    <definedName name="wrn.Test." hidden="1">{"Input",#N/A,FALSE,"INPUT";"Sviluppo",#N/A,FALSE,"Sviluppo"}</definedName>
    <definedName name="wrn.Total._.Print." localSheetId="11" hidden="1">{#N/A,#N/A,TRUE,"Cover Sheet";#N/A,#N/A,TRUE,"Contents";#N/A,#N/A,TRUE,"Model Assumptions";#N/A,#N/A,TRUE,"Financial Assumptions";#N/A,#N/A,TRUE,"Scenarios";#N/A,#N/A,TRUE,"SensitivitiesPower";#N/A,#N/A,TRUE,"SensitivitiesGas";#N/A,#N/A,TRUE,"SensitivitiesWater";#N/A,#N/A,TRUE,"Fixed Cost allocation table";#N/A,#N/A,TRUE,"Historic balance sheet";#N/A,#N/A,TRUE,"Stadtwerke Comps";#N/A,#N/A,TRUE,"Electricity Comps";#N/A,#N/A,TRUE,"Gas Comps";#N/A,#N/A,TRUE,"Water Comps";#N/A,#N/A,TRUE,"DCFCoverPower";#N/A,#N/A,TRUE,"DCFOverviewPower";#N/A,#N/A,TRUE,"RevenuesPower";#N/A,#N/A,TRUE,"CostsPower";#N/A,#N/A,TRUE,"PlanPower";#N/A,#N/A,TRUE,"DCFPower";#N/A,#N/A,TRUE,"ValuePower";#N/A,#N/A,TRUE,"WaccPower";#N/A,#N/A,TRUE,"WaccCompPower";#N/A,#N/A,TRUE,"MatrixPower";#N/A,#N/A,TRUE,"DCFCoverGas";#N/A,#N/A,TRUE,"DCFOverviewGas";#N/A,#N/A,TRUE,"RevenuesGas";#N/A,#N/A,TRUE,"CostGas";#N/A,#N/A,TRUE,"PlanGas";#N/A,#N/A,TRUE,"DCFGas";#N/A,#N/A,TRUE,"ValueGas";#N/A,#N/A,TRUE,"WaccGas";#N/A,#N/A,TRUE,"WaccCompGas";#N/A,#N/A,TRUE,"MatrixGas";#N/A,#N/A,TRUE,"DCFCoverWater";#N/A,#N/A,TRUE,"DCFOverviewWater";#N/A,#N/A,TRUE,"RevenuesWater";#N/A,#N/A,TRUE,"CostWater";#N/A,#N/A,TRUE,"PlanWater";#N/A,#N/A,TRUE,"DCFWater";#N/A,#N/A,TRUE,"ValueWater";#N/A,#N/A,TRUE,"WaccWater";#N/A,#N/A,TRUE,"WaccWater";#N/A,#N/A,TRUE,"WaccCompWater";#N/A,#N/A,TRUE,"MatrixWater";#N/A,#N/A,TRUE,"DCFCoverVersorgung";#N/A,#N/A,TRUE,"DCFOverviewVersorgung";#N/A,#N/A,TRUE,"PlanVersorgung";#N/A,#N/A,TRUE,"DCFVersorgung";#N/A,#N/A,TRUE,"ValueVersorgung";#N/A,#N/A,TRUE,"WaccVersorgung";#N/A,#N/A,TRUE,"WaccCompVersorgung";#N/A,#N/A,TRUE,"MatrixVersorgung"}</definedName>
    <definedName name="wrn.Total._.Print." hidden="1">{#N/A,#N/A,TRUE,"Cover Sheet";#N/A,#N/A,TRUE,"Contents";#N/A,#N/A,TRUE,"Model Assumptions";#N/A,#N/A,TRUE,"Financial Assumptions";#N/A,#N/A,TRUE,"Scenarios";#N/A,#N/A,TRUE,"SensitivitiesPower";#N/A,#N/A,TRUE,"SensitivitiesGas";#N/A,#N/A,TRUE,"SensitivitiesWater";#N/A,#N/A,TRUE,"Fixed Cost allocation table";#N/A,#N/A,TRUE,"Historic balance sheet";#N/A,#N/A,TRUE,"Stadtwerke Comps";#N/A,#N/A,TRUE,"Electricity Comps";#N/A,#N/A,TRUE,"Gas Comps";#N/A,#N/A,TRUE,"Water Comps";#N/A,#N/A,TRUE,"DCFCoverPower";#N/A,#N/A,TRUE,"DCFOverviewPower";#N/A,#N/A,TRUE,"RevenuesPower";#N/A,#N/A,TRUE,"CostsPower";#N/A,#N/A,TRUE,"PlanPower";#N/A,#N/A,TRUE,"DCFPower";#N/A,#N/A,TRUE,"ValuePower";#N/A,#N/A,TRUE,"WaccPower";#N/A,#N/A,TRUE,"WaccCompPower";#N/A,#N/A,TRUE,"MatrixPower";#N/A,#N/A,TRUE,"DCFCoverGas";#N/A,#N/A,TRUE,"DCFOverviewGas";#N/A,#N/A,TRUE,"RevenuesGas";#N/A,#N/A,TRUE,"CostGas";#N/A,#N/A,TRUE,"PlanGas";#N/A,#N/A,TRUE,"DCFGas";#N/A,#N/A,TRUE,"ValueGas";#N/A,#N/A,TRUE,"WaccGas";#N/A,#N/A,TRUE,"WaccCompGas";#N/A,#N/A,TRUE,"MatrixGas";#N/A,#N/A,TRUE,"DCFCoverWater";#N/A,#N/A,TRUE,"DCFOverviewWater";#N/A,#N/A,TRUE,"RevenuesWater";#N/A,#N/A,TRUE,"CostWater";#N/A,#N/A,TRUE,"PlanWater";#N/A,#N/A,TRUE,"DCFWater";#N/A,#N/A,TRUE,"ValueWater";#N/A,#N/A,TRUE,"WaccWater";#N/A,#N/A,TRUE,"WaccWater";#N/A,#N/A,TRUE,"WaccCompWater";#N/A,#N/A,TRUE,"MatrixWater";#N/A,#N/A,TRUE,"DCFCoverVersorgung";#N/A,#N/A,TRUE,"DCFOverviewVersorgung";#N/A,#N/A,TRUE,"PlanVersorgung";#N/A,#N/A,TRUE,"DCFVersorgung";#N/A,#N/A,TRUE,"ValueVersorgung";#N/A,#N/A,TRUE,"WaccVersorgung";#N/A,#N/A,TRUE,"WaccCompVersorgung";#N/A,#N/A,TRUE,"MatrixVersorgung"}</definedName>
    <definedName name="wrn.Valuation._.Summaries." localSheetId="11" hidden="1">{#N/A,#N/A,FALSE,"Cover Sheet";#N/A,#N/A,FALSE,"Financial Assumptions";#N/A,#N/A,FALSE,"DCFOverviewPower";#N/A,#N/A,FALSE,"DCFOverviewGas";#N/A,#N/A,FALSE,"DCFOverviewWater";#N/A,#N/A,FALSE,"DCFOverviewVersorgung"}</definedName>
    <definedName name="wrn.Valuation._.Summaries." hidden="1">{#N/A,#N/A,FALSE,"Cover Sheet";#N/A,#N/A,FALSE,"Financial Assumptions";#N/A,#N/A,FALSE,"DCFOverviewPower";#N/A,#N/A,FALSE,"DCFOverviewGas";#N/A,#N/A,FALSE,"DCFOverviewWater";#N/A,#N/A,FALSE,"DCFOverviewVersorgung"}</definedName>
    <definedName name="wrn.Versorgungs._.GmbH._.Data." localSheetId="11" hidden="1">{#N/A,#N/A,FALSE,"DCFCoverVersorgung";#N/A,#N/A,FALSE,"DCFOverviewVersorgung";#N/A,#N/A,FALSE,"PlanVersorgung";#N/A,#N/A,FALSE,"DCFVersorgung";#N/A,#N/A,FALSE,"ValueVersorgung";#N/A,#N/A,FALSE,"WaccVersorgung";#N/A,#N/A,FALSE,"WaccVersorgung";#N/A,#N/A,FALSE,"WaccCompVersorgung";#N/A,#N/A,FALSE,"MatrixVersorgung"}</definedName>
    <definedName name="wrn.Versorgungs._.GmbH._.Data." hidden="1">{#N/A,#N/A,FALSE,"DCFCoverVersorgung";#N/A,#N/A,FALSE,"DCFOverviewVersorgung";#N/A,#N/A,FALSE,"PlanVersorgung";#N/A,#N/A,FALSE,"DCFVersorgung";#N/A,#N/A,FALSE,"ValueVersorgung";#N/A,#N/A,FALSE,"WaccVersorgung";#N/A,#N/A,FALSE,"WaccVersorgung";#N/A,#N/A,FALSE,"WaccCompVersorgung";#N/A,#N/A,FALSE,"MatrixVersorgung"}</definedName>
    <definedName name="x" localSheetId="11" hidden="1">{#N/A,#N/A,FALSE,"Aging Summary";#N/A,#N/A,FALSE,"Ratio Analysis";#N/A,#N/A,FALSE,"Test 120 Day Accts";#N/A,#N/A,FALSE,"Tickmarks"}</definedName>
    <definedName name="x" hidden="1">{#N/A,#N/A,FALSE,"Aging Summary";#N/A,#N/A,FALSE,"Ratio Analysis";#N/A,#N/A,FALSE,"Test 120 Day Accts";#N/A,#N/A,FALSE,"Tickmarks"}</definedName>
    <definedName name="xxx">#REF!</definedName>
    <definedName name="XXXXX" localSheetId="11" hidden="1">{"français",#N/A,FALSE,"Intro";"français",#N/A,FALSE,"Index";#N/A,#N/A,FALSE,"3-Incor";#N/A,#N/A,FALSE,"4-Corpo"}</definedName>
    <definedName name="XXXXX" hidden="1">{"français",#N/A,FALSE,"Intro";"français",#N/A,FALSE,"Index";#N/A,#N/A,FALSE,"3-Incor";#N/A,#N/A,FALSE,"4-Corpo"}</definedName>
    <definedName name="xxy">#REF!</definedName>
    <definedName name="y" localSheetId="11" hidden="1">{#N/A,#N/A,FALSE,"Aging Summary";#N/A,#N/A,FALSE,"Ratio Analysis";#N/A,#N/A,FALSE,"Test 120 Day Accts";#N/A,#N/A,FALSE,"Tickmarks"}</definedName>
    <definedName name="y" hidden="1">{#N/A,#N/A,FALSE,"Aging Summary";#N/A,#N/A,FALSE,"Ratio Analysis";#N/A,#N/A,FALSE,"Test 120 Day Accts";#N/A,#N/A,FALSE,"Tickmarks"}</definedName>
    <definedName name="Year">#REF!</definedName>
    <definedName name="Year_end" localSheetId="14">#REF!</definedName>
    <definedName name="Year_end" localSheetId="13">#REF!</definedName>
    <definedName name="Year_end">#REF!</definedName>
    <definedName name="yyy" localSheetId="11">#REF!</definedName>
    <definedName name="yyy">#REF!</definedName>
    <definedName name="YYYYYY" localSheetId="11" hidden="1">{"français",#N/A,FALSE,"Intro";"français",#N/A,FALSE,"Index";#N/A,#N/A,FALSE,"3-Incor";#N/A,#N/A,FALSE,"4-Corpo"}</definedName>
    <definedName name="YYYYYY" hidden="1">{"français",#N/A,FALSE,"Intro";"français",#N/A,FALSE,"Index";#N/A,#N/A,FALSE,"3-Incor";#N/A,#N/A,FALSE,"4-Corpo"}</definedName>
    <definedName name="Z_gradi" localSheetId="11">#REF!</definedName>
    <definedName name="Z_gradi">#REF!</definedName>
    <definedName name="zona" localSheetId="11">#REF!</definedName>
    <definedName name="zona">#REF!</definedName>
    <definedName name="Zona_Climatica" localSheetId="11">#REF!</definedName>
    <definedName name="Zona_Climatic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2" i="24" l="1"/>
  <c r="C58" i="24"/>
  <c r="C72" i="8"/>
  <c r="E11" i="15" l="1"/>
  <c r="D11" i="25"/>
  <c r="E11" i="25" s="1"/>
  <c r="C8" i="25"/>
  <c r="D7" i="25"/>
  <c r="I24" i="24"/>
  <c r="J24" i="24"/>
  <c r="K24" i="24"/>
  <c r="P24" i="24"/>
  <c r="R24" i="24"/>
  <c r="V24" i="24"/>
  <c r="W24" i="24"/>
  <c r="X24" i="24"/>
  <c r="Y24" i="24"/>
  <c r="AD24" i="24"/>
  <c r="AF24" i="24"/>
  <c r="D24" i="24"/>
  <c r="C24" i="24"/>
  <c r="C14" i="24"/>
  <c r="L7" i="24"/>
  <c r="M7" i="24"/>
  <c r="N7" i="24"/>
  <c r="O7" i="24"/>
  <c r="P7" i="24"/>
  <c r="Q7" i="24"/>
  <c r="R7" i="24"/>
  <c r="Z7" i="24"/>
  <c r="AA7" i="24"/>
  <c r="AB7" i="24"/>
  <c r="AC7" i="24"/>
  <c r="AD7" i="24"/>
  <c r="AE7" i="24"/>
  <c r="AF7" i="24"/>
  <c r="D64" i="24"/>
  <c r="E64" i="24" s="1"/>
  <c r="D51" i="24"/>
  <c r="E51" i="24" s="1"/>
  <c r="F51" i="24" s="1"/>
  <c r="G51" i="24" s="1"/>
  <c r="D46" i="24"/>
  <c r="C33" i="24"/>
  <c r="C28" i="24"/>
  <c r="AF26" i="24"/>
  <c r="AE26" i="24"/>
  <c r="AD26" i="24"/>
  <c r="AC26" i="24"/>
  <c r="AB26" i="24"/>
  <c r="AA26" i="24"/>
  <c r="Z26" i="24"/>
  <c r="Y26" i="24"/>
  <c r="X26" i="24"/>
  <c r="W26" i="24"/>
  <c r="V26" i="24"/>
  <c r="U26" i="24"/>
  <c r="T26" i="24"/>
  <c r="S26" i="24"/>
  <c r="R26" i="24"/>
  <c r="Q26" i="24"/>
  <c r="P26" i="24"/>
  <c r="O26" i="24"/>
  <c r="N26" i="24"/>
  <c r="M26" i="24"/>
  <c r="L26" i="24"/>
  <c r="K26" i="24"/>
  <c r="J26" i="24"/>
  <c r="I26" i="24"/>
  <c r="H26" i="24"/>
  <c r="G26" i="24"/>
  <c r="F26" i="24"/>
  <c r="E26" i="24"/>
  <c r="D26" i="24"/>
  <c r="C26" i="24"/>
  <c r="D22" i="24"/>
  <c r="E22" i="24" s="1"/>
  <c r="AG11" i="24"/>
  <c r="AF9" i="24"/>
  <c r="AE9" i="24"/>
  <c r="AD9" i="24"/>
  <c r="AC9" i="24"/>
  <c r="AB9" i="24"/>
  <c r="AA9" i="24"/>
  <c r="Z9" i="24"/>
  <c r="Y9" i="24"/>
  <c r="X9" i="24"/>
  <c r="W9" i="24"/>
  <c r="V9" i="24"/>
  <c r="U9" i="24"/>
  <c r="T9" i="24"/>
  <c r="S9" i="24"/>
  <c r="R9" i="24"/>
  <c r="Q9" i="24"/>
  <c r="P9" i="24"/>
  <c r="O9" i="24"/>
  <c r="N9" i="24"/>
  <c r="M9" i="24"/>
  <c r="L9" i="24"/>
  <c r="K9" i="24"/>
  <c r="J9" i="24"/>
  <c r="I9" i="24"/>
  <c r="H9" i="24"/>
  <c r="G9" i="24"/>
  <c r="F9" i="24"/>
  <c r="E9" i="24"/>
  <c r="D9" i="24"/>
  <c r="C9" i="24"/>
  <c r="D5" i="24"/>
  <c r="D10" i="23"/>
  <c r="E10" i="23" s="1"/>
  <c r="F10" i="23" s="1"/>
  <c r="G10" i="23" s="1"/>
  <c r="H10" i="23" s="1"/>
  <c r="I10" i="23" s="1"/>
  <c r="J10" i="23" s="1"/>
  <c r="K10" i="23" s="1"/>
  <c r="L10" i="23" s="1"/>
  <c r="M10" i="23" s="1"/>
  <c r="N10" i="23" s="1"/>
  <c r="O10" i="23" s="1"/>
  <c r="P10" i="23" s="1"/>
  <c r="Q10" i="23" s="1"/>
  <c r="R10" i="23" s="1"/>
  <c r="S10" i="23" s="1"/>
  <c r="T10" i="23" s="1"/>
  <c r="U10" i="23" s="1"/>
  <c r="V10" i="23" s="1"/>
  <c r="W10" i="23" s="1"/>
  <c r="X10" i="23" s="1"/>
  <c r="Y10" i="23" s="1"/>
  <c r="C90" i="23"/>
  <c r="C83" i="23"/>
  <c r="AG76" i="23"/>
  <c r="C72" i="23"/>
  <c r="AG56" i="23"/>
  <c r="AG55" i="23"/>
  <c r="B55" i="23"/>
  <c r="D52" i="23"/>
  <c r="C52" i="23"/>
  <c r="AF39" i="23"/>
  <c r="AE39" i="23"/>
  <c r="AE24" i="24" s="1"/>
  <c r="AD39" i="23"/>
  <c r="AC39" i="23"/>
  <c r="AC24" i="24" s="1"/>
  <c r="AB39" i="23"/>
  <c r="AB24" i="24" s="1"/>
  <c r="AA39" i="23"/>
  <c r="AA24" i="24" s="1"/>
  <c r="Z39" i="23"/>
  <c r="Z24" i="24" s="1"/>
  <c r="Y39" i="23"/>
  <c r="Y7" i="24" s="1"/>
  <c r="X39" i="23"/>
  <c r="X7" i="24" s="1"/>
  <c r="W39" i="23"/>
  <c r="W7" i="24" s="1"/>
  <c r="V39" i="23"/>
  <c r="V7" i="24" s="1"/>
  <c r="U39" i="23"/>
  <c r="U24" i="24" s="1"/>
  <c r="T39" i="23"/>
  <c r="T7" i="24" s="1"/>
  <c r="S39" i="23"/>
  <c r="S7" i="24" s="1"/>
  <c r="R39" i="23"/>
  <c r="Q39" i="23"/>
  <c r="Q24" i="24" s="1"/>
  <c r="P39" i="23"/>
  <c r="O39" i="23"/>
  <c r="O24" i="24" s="1"/>
  <c r="N39" i="23"/>
  <c r="N24" i="24" s="1"/>
  <c r="M39" i="23"/>
  <c r="M24" i="24" s="1"/>
  <c r="L39" i="23"/>
  <c r="L24" i="24" s="1"/>
  <c r="K39" i="23"/>
  <c r="K7" i="24" s="1"/>
  <c r="J39" i="23"/>
  <c r="J7" i="24" s="1"/>
  <c r="I39" i="23"/>
  <c r="I7" i="24" s="1"/>
  <c r="H39" i="23"/>
  <c r="H24" i="24" s="1"/>
  <c r="G39" i="23"/>
  <c r="G7" i="24" s="1"/>
  <c r="F39" i="23"/>
  <c r="F7" i="24" s="1"/>
  <c r="E39" i="23"/>
  <c r="E7" i="24" s="1"/>
  <c r="D39" i="23"/>
  <c r="D7" i="24" s="1"/>
  <c r="C39" i="23"/>
  <c r="C7" i="24" s="1"/>
  <c r="C35" i="23"/>
  <c r="C34" i="23"/>
  <c r="D34" i="23" s="1"/>
  <c r="E34" i="23" s="1"/>
  <c r="F34" i="23" s="1"/>
  <c r="G34" i="23" s="1"/>
  <c r="H34" i="23" s="1"/>
  <c r="C33" i="23"/>
  <c r="C28" i="23"/>
  <c r="D28" i="23" s="1"/>
  <c r="E28" i="23" s="1"/>
  <c r="F28" i="23" s="1"/>
  <c r="G28" i="23" s="1"/>
  <c r="H28" i="23" s="1"/>
  <c r="I28" i="23" s="1"/>
  <c r="J28" i="23" s="1"/>
  <c r="K28" i="23" s="1"/>
  <c r="L28" i="23" s="1"/>
  <c r="M28" i="23" s="1"/>
  <c r="N28" i="23" s="1"/>
  <c r="O28" i="23" s="1"/>
  <c r="P28" i="23" s="1"/>
  <c r="Q28" i="23" s="1"/>
  <c r="R28" i="23" s="1"/>
  <c r="S28" i="23" s="1"/>
  <c r="T28" i="23" s="1"/>
  <c r="U28" i="23" s="1"/>
  <c r="V28" i="23" s="1"/>
  <c r="W28" i="23" s="1"/>
  <c r="X28" i="23" s="1"/>
  <c r="Y28" i="23" s="1"/>
  <c r="D27" i="23"/>
  <c r="E27" i="23" s="1"/>
  <c r="F27" i="23" s="1"/>
  <c r="G27" i="23" s="1"/>
  <c r="H27" i="23" s="1"/>
  <c r="I27" i="23" s="1"/>
  <c r="J27" i="23" s="1"/>
  <c r="K27" i="23" s="1"/>
  <c r="L27" i="23" s="1"/>
  <c r="M27" i="23" s="1"/>
  <c r="N27" i="23" s="1"/>
  <c r="O27" i="23" s="1"/>
  <c r="P27" i="23" s="1"/>
  <c r="Q27" i="23" s="1"/>
  <c r="R27" i="23" s="1"/>
  <c r="S27" i="23" s="1"/>
  <c r="T27" i="23" s="1"/>
  <c r="U27" i="23" s="1"/>
  <c r="V27" i="23" s="1"/>
  <c r="W27" i="23" s="1"/>
  <c r="X27" i="23" s="1"/>
  <c r="Y27" i="23" s="1"/>
  <c r="C27" i="23"/>
  <c r="D25" i="23"/>
  <c r="E25" i="23" s="1"/>
  <c r="F25" i="23" s="1"/>
  <c r="G25" i="23" s="1"/>
  <c r="H25" i="23" s="1"/>
  <c r="I25" i="23" s="1"/>
  <c r="J25" i="23" s="1"/>
  <c r="K25" i="23" s="1"/>
  <c r="L25" i="23" s="1"/>
  <c r="M25" i="23" s="1"/>
  <c r="N25" i="23" s="1"/>
  <c r="O25" i="23" s="1"/>
  <c r="P25" i="23" s="1"/>
  <c r="Q25" i="23" s="1"/>
  <c r="R25" i="23" s="1"/>
  <c r="S25" i="23" s="1"/>
  <c r="T25" i="23" s="1"/>
  <c r="U25" i="23" s="1"/>
  <c r="V25" i="23" s="1"/>
  <c r="W25" i="23" s="1"/>
  <c r="X25" i="23" s="1"/>
  <c r="Y25" i="23" s="1"/>
  <c r="C24" i="23"/>
  <c r="D24" i="23" s="1"/>
  <c r="E24" i="23" s="1"/>
  <c r="F24" i="23" s="1"/>
  <c r="G24" i="23" s="1"/>
  <c r="H24" i="23" s="1"/>
  <c r="I24" i="23" s="1"/>
  <c r="J24" i="23" s="1"/>
  <c r="K24" i="23" s="1"/>
  <c r="L24" i="23" s="1"/>
  <c r="M24" i="23" s="1"/>
  <c r="N24" i="23" s="1"/>
  <c r="O24" i="23" s="1"/>
  <c r="P24" i="23" s="1"/>
  <c r="Q24" i="23" s="1"/>
  <c r="R24" i="23" s="1"/>
  <c r="S24" i="23" s="1"/>
  <c r="T24" i="23" s="1"/>
  <c r="U24" i="23" s="1"/>
  <c r="V24" i="23" s="1"/>
  <c r="W24" i="23" s="1"/>
  <c r="X24" i="23" s="1"/>
  <c r="Y24" i="23" s="1"/>
  <c r="C23" i="23"/>
  <c r="D23" i="23" s="1"/>
  <c r="E23" i="23" s="1"/>
  <c r="F23" i="23" s="1"/>
  <c r="G23" i="23" s="1"/>
  <c r="H23" i="23" s="1"/>
  <c r="I23" i="23" s="1"/>
  <c r="J23" i="23" s="1"/>
  <c r="K23" i="23" s="1"/>
  <c r="L23" i="23" s="1"/>
  <c r="M23" i="23" s="1"/>
  <c r="N23" i="23" s="1"/>
  <c r="O23" i="23" s="1"/>
  <c r="P23" i="23" s="1"/>
  <c r="Q23" i="23" s="1"/>
  <c r="R23" i="23" s="1"/>
  <c r="S23" i="23" s="1"/>
  <c r="T23" i="23" s="1"/>
  <c r="U23" i="23" s="1"/>
  <c r="V23" i="23" s="1"/>
  <c r="W23" i="23" s="1"/>
  <c r="X23" i="23" s="1"/>
  <c r="Y23" i="23" s="1"/>
  <c r="C22" i="23"/>
  <c r="D22" i="23" s="1"/>
  <c r="E22" i="23" s="1"/>
  <c r="F22" i="23" s="1"/>
  <c r="G22" i="23" s="1"/>
  <c r="H22" i="23" s="1"/>
  <c r="I22" i="23" s="1"/>
  <c r="J22" i="23" s="1"/>
  <c r="K22" i="23" s="1"/>
  <c r="L22" i="23" s="1"/>
  <c r="M22" i="23" s="1"/>
  <c r="N22" i="23" s="1"/>
  <c r="O22" i="23" s="1"/>
  <c r="P22" i="23" s="1"/>
  <c r="Q22" i="23" s="1"/>
  <c r="R22" i="23" s="1"/>
  <c r="S22" i="23" s="1"/>
  <c r="T22" i="23" s="1"/>
  <c r="U22" i="23" s="1"/>
  <c r="V22" i="23" s="1"/>
  <c r="W22" i="23" s="1"/>
  <c r="X22" i="23" s="1"/>
  <c r="Y22" i="23" s="1"/>
  <c r="C19" i="23"/>
  <c r="D19" i="23" s="1"/>
  <c r="C18" i="23"/>
  <c r="D18" i="23" s="1"/>
  <c r="E18" i="23" s="1"/>
  <c r="F18" i="23" s="1"/>
  <c r="G18" i="23" s="1"/>
  <c r="H18" i="23" s="1"/>
  <c r="I18" i="23" s="1"/>
  <c r="J18" i="23" s="1"/>
  <c r="K18" i="23" s="1"/>
  <c r="L18" i="23" s="1"/>
  <c r="M18" i="23" s="1"/>
  <c r="N18" i="23" s="1"/>
  <c r="O18" i="23" s="1"/>
  <c r="P18" i="23" s="1"/>
  <c r="Q18" i="23" s="1"/>
  <c r="R18" i="23" s="1"/>
  <c r="S18" i="23" s="1"/>
  <c r="T18" i="23" s="1"/>
  <c r="U18" i="23" s="1"/>
  <c r="V18" i="23" s="1"/>
  <c r="W18" i="23" s="1"/>
  <c r="X18" i="23" s="1"/>
  <c r="Y18" i="23" s="1"/>
  <c r="D16" i="23"/>
  <c r="E16" i="23" s="1"/>
  <c r="C11" i="23"/>
  <c r="D11" i="23" s="1"/>
  <c r="E11" i="23" s="1"/>
  <c r="F11" i="23" s="1"/>
  <c r="G11" i="23" s="1"/>
  <c r="H11" i="23" s="1"/>
  <c r="I11" i="23" s="1"/>
  <c r="J11" i="23" s="1"/>
  <c r="K11" i="23" s="1"/>
  <c r="L11" i="23" s="1"/>
  <c r="M11" i="23" s="1"/>
  <c r="N11" i="23" s="1"/>
  <c r="O11" i="23" s="1"/>
  <c r="P11" i="23" s="1"/>
  <c r="Q11" i="23" s="1"/>
  <c r="R11" i="23" s="1"/>
  <c r="S11" i="23" s="1"/>
  <c r="T11" i="23" s="1"/>
  <c r="U11" i="23" s="1"/>
  <c r="V11" i="23" s="1"/>
  <c r="W11" i="23" s="1"/>
  <c r="X11" i="23" s="1"/>
  <c r="Y11" i="23" s="1"/>
  <c r="C9" i="23"/>
  <c r="D9" i="23" s="1"/>
  <c r="E9" i="23" s="1"/>
  <c r="F9" i="23" s="1"/>
  <c r="G9" i="23" s="1"/>
  <c r="H9" i="23" s="1"/>
  <c r="I9" i="23" s="1"/>
  <c r="J9" i="23" s="1"/>
  <c r="K9" i="23" s="1"/>
  <c r="L9" i="23" s="1"/>
  <c r="M9" i="23" s="1"/>
  <c r="N9" i="23" s="1"/>
  <c r="O9" i="23" s="1"/>
  <c r="P9" i="23" s="1"/>
  <c r="Q9" i="23" s="1"/>
  <c r="R9" i="23" s="1"/>
  <c r="S9" i="23" s="1"/>
  <c r="T9" i="23" s="1"/>
  <c r="U9" i="23" s="1"/>
  <c r="V9" i="23" s="1"/>
  <c r="W9" i="23" s="1"/>
  <c r="X9" i="23" s="1"/>
  <c r="Y9" i="23" s="1"/>
  <c r="D7" i="23"/>
  <c r="C7" i="23"/>
  <c r="D5" i="23"/>
  <c r="E5" i="23" s="1"/>
  <c r="C26" i="7"/>
  <c r="C45" i="1"/>
  <c r="C32" i="23" l="1"/>
  <c r="C36" i="23" s="1"/>
  <c r="E83" i="23"/>
  <c r="E33" i="23"/>
  <c r="E90" i="23"/>
  <c r="E52" i="23"/>
  <c r="T24" i="24"/>
  <c r="F24" i="24"/>
  <c r="G24" i="24"/>
  <c r="S24" i="24"/>
  <c r="E24" i="24"/>
  <c r="U7" i="24"/>
  <c r="H7" i="24"/>
  <c r="E7" i="25"/>
  <c r="D8" i="25"/>
  <c r="E5" i="24"/>
  <c r="F22" i="24"/>
  <c r="AG66" i="24"/>
  <c r="H51" i="24"/>
  <c r="F5" i="24"/>
  <c r="E46" i="24"/>
  <c r="F64" i="24"/>
  <c r="I34" i="23"/>
  <c r="E7" i="23"/>
  <c r="E32" i="23"/>
  <c r="E36" i="23" s="1"/>
  <c r="E19" i="23"/>
  <c r="F19" i="23" s="1"/>
  <c r="G19" i="23" s="1"/>
  <c r="H19" i="23" s="1"/>
  <c r="I19" i="23" s="1"/>
  <c r="J19" i="23" s="1"/>
  <c r="K19" i="23" s="1"/>
  <c r="L19" i="23" s="1"/>
  <c r="M19" i="23" s="1"/>
  <c r="N19" i="23" s="1"/>
  <c r="O19" i="23" s="1"/>
  <c r="P19" i="23" s="1"/>
  <c r="Q19" i="23" s="1"/>
  <c r="R19" i="23" s="1"/>
  <c r="S19" i="23" s="1"/>
  <c r="T19" i="23" s="1"/>
  <c r="U19" i="23" s="1"/>
  <c r="V19" i="23" s="1"/>
  <c r="W19" i="23" s="1"/>
  <c r="X19" i="23" s="1"/>
  <c r="Y19" i="23" s="1"/>
  <c r="F16" i="23"/>
  <c r="D83" i="23"/>
  <c r="D90" i="23"/>
  <c r="D33" i="23"/>
  <c r="D32" i="23" s="1"/>
  <c r="D36" i="23" s="1"/>
  <c r="F5" i="23"/>
  <c r="D35" i="1"/>
  <c r="D26" i="7"/>
  <c r="E26" i="7" s="1"/>
  <c r="F26" i="7" s="1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W26" i="7" s="1"/>
  <c r="X26" i="7" s="1"/>
  <c r="Y26" i="7" s="1"/>
  <c r="C10" i="7"/>
  <c r="D10" i="7" s="1"/>
  <c r="E10" i="7" s="1"/>
  <c r="F10" i="7" s="1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I38" i="1"/>
  <c r="C26" i="21"/>
  <c r="C25" i="21"/>
  <c r="C17" i="21"/>
  <c r="E8" i="25" l="1"/>
  <c r="F7" i="25"/>
  <c r="F11" i="25"/>
  <c r="G22" i="24"/>
  <c r="G64" i="24"/>
  <c r="G5" i="24"/>
  <c r="I51" i="24"/>
  <c r="F46" i="24"/>
  <c r="J34" i="23"/>
  <c r="G16" i="23"/>
  <c r="F7" i="23"/>
  <c r="F83" i="23"/>
  <c r="F90" i="23"/>
  <c r="F33" i="23"/>
  <c r="F32" i="23" s="1"/>
  <c r="F36" i="23" s="1"/>
  <c r="F52" i="23"/>
  <c r="G5" i="23"/>
  <c r="C27" i="21"/>
  <c r="G11" i="25" l="1"/>
  <c r="G7" i="25"/>
  <c r="F8" i="25"/>
  <c r="H22" i="24"/>
  <c r="I22" i="24"/>
  <c r="G46" i="24"/>
  <c r="J51" i="24"/>
  <c r="H5" i="24"/>
  <c r="H64" i="24"/>
  <c r="H16" i="23"/>
  <c r="G7" i="23"/>
  <c r="K34" i="23"/>
  <c r="G90" i="23"/>
  <c r="G52" i="23"/>
  <c r="H5" i="23"/>
  <c r="G83" i="23"/>
  <c r="G33" i="23"/>
  <c r="G32" i="23" s="1"/>
  <c r="G36" i="23" s="1"/>
  <c r="C11" i="7"/>
  <c r="D11" i="7" s="1"/>
  <c r="E11" i="7" s="1"/>
  <c r="F11" i="7" s="1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D33" i="1"/>
  <c r="D39" i="1"/>
  <c r="D13" i="19"/>
  <c r="D10" i="19"/>
  <c r="E10" i="19"/>
  <c r="E13" i="19"/>
  <c r="F13" i="19"/>
  <c r="F10" i="19"/>
  <c r="D16" i="19"/>
  <c r="E16" i="19"/>
  <c r="F16" i="19"/>
  <c r="G8" i="25" l="1"/>
  <c r="H7" i="25"/>
  <c r="H11" i="25"/>
  <c r="K51" i="24"/>
  <c r="I64" i="24"/>
  <c r="H46" i="24"/>
  <c r="I5" i="24"/>
  <c r="J22" i="24"/>
  <c r="L34" i="23"/>
  <c r="I16" i="23"/>
  <c r="H7" i="23"/>
  <c r="H90" i="23"/>
  <c r="H52" i="23"/>
  <c r="H83" i="23"/>
  <c r="I5" i="23"/>
  <c r="H33" i="23"/>
  <c r="H32" i="23" s="1"/>
  <c r="H36" i="23" s="1"/>
  <c r="F15" i="19"/>
  <c r="E15" i="19"/>
  <c r="D15" i="19"/>
  <c r="C27" i="7"/>
  <c r="D27" i="7" s="1"/>
  <c r="E27" i="7" s="1"/>
  <c r="F27" i="7" s="1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W27" i="7" s="1"/>
  <c r="X27" i="7" s="1"/>
  <c r="Y27" i="7" s="1"/>
  <c r="C28" i="7"/>
  <c r="C38" i="1"/>
  <c r="D38" i="1" s="1"/>
  <c r="C34" i="1"/>
  <c r="D34" i="1" s="1"/>
  <c r="C28" i="1"/>
  <c r="I101" i="19"/>
  <c r="I100" i="19"/>
  <c r="F97" i="19" s="1"/>
  <c r="H97" i="19"/>
  <c r="H90" i="19"/>
  <c r="H82" i="19"/>
  <c r="H78" i="19"/>
  <c r="H65" i="19"/>
  <c r="H60" i="19"/>
  <c r="H57" i="19"/>
  <c r="H53" i="19"/>
  <c r="H45" i="19"/>
  <c r="H29" i="19"/>
  <c r="I29" i="19" s="1"/>
  <c r="H23" i="19"/>
  <c r="C33" i="20"/>
  <c r="B29" i="20"/>
  <c r="G29" i="20" s="1"/>
  <c r="B28" i="20"/>
  <c r="G28" i="20" s="1"/>
  <c r="C32" i="1" s="1"/>
  <c r="B27" i="20"/>
  <c r="G27" i="20" s="1"/>
  <c r="C31" i="1" s="1"/>
  <c r="B26" i="20"/>
  <c r="D26" i="20" s="1"/>
  <c r="G26" i="20" s="1"/>
  <c r="C30" i="1" s="1"/>
  <c r="C21" i="23" s="1"/>
  <c r="D21" i="23" s="1"/>
  <c r="E21" i="23" s="1"/>
  <c r="F21" i="23" s="1"/>
  <c r="G21" i="23" s="1"/>
  <c r="H21" i="23" s="1"/>
  <c r="I21" i="23" s="1"/>
  <c r="J21" i="23" s="1"/>
  <c r="K21" i="23" s="1"/>
  <c r="L21" i="23" s="1"/>
  <c r="M21" i="23" s="1"/>
  <c r="N21" i="23" s="1"/>
  <c r="O21" i="23" s="1"/>
  <c r="P21" i="23" s="1"/>
  <c r="Q21" i="23" s="1"/>
  <c r="R21" i="23" s="1"/>
  <c r="S21" i="23" s="1"/>
  <c r="T21" i="23" s="1"/>
  <c r="U21" i="23" s="1"/>
  <c r="V21" i="23" s="1"/>
  <c r="W21" i="23" s="1"/>
  <c r="X21" i="23" s="1"/>
  <c r="Y21" i="23" s="1"/>
  <c r="G21" i="20"/>
  <c r="G20" i="20"/>
  <c r="G19" i="20"/>
  <c r="M105" i="19"/>
  <c r="L105" i="19"/>
  <c r="K105" i="19"/>
  <c r="M104" i="19"/>
  <c r="L104" i="19"/>
  <c r="K104" i="19"/>
  <c r="M103" i="19"/>
  <c r="L103" i="19"/>
  <c r="K103" i="19"/>
  <c r="M102" i="19"/>
  <c r="L102" i="19"/>
  <c r="K102" i="19"/>
  <c r="M101" i="19"/>
  <c r="L101" i="19"/>
  <c r="K101" i="19"/>
  <c r="M100" i="19"/>
  <c r="L100" i="19"/>
  <c r="K100" i="19"/>
  <c r="C97" i="19"/>
  <c r="M94" i="19"/>
  <c r="L94" i="19"/>
  <c r="K94" i="19"/>
  <c r="M93" i="19"/>
  <c r="L93" i="19"/>
  <c r="K93" i="19"/>
  <c r="M92" i="19"/>
  <c r="L92" i="19"/>
  <c r="K92" i="19"/>
  <c r="F90" i="19"/>
  <c r="E90" i="19"/>
  <c r="D90" i="19"/>
  <c r="C90" i="19"/>
  <c r="M89" i="19"/>
  <c r="L89" i="19"/>
  <c r="K89" i="19"/>
  <c r="M88" i="19"/>
  <c r="L88" i="19"/>
  <c r="K88" i="19"/>
  <c r="M87" i="19"/>
  <c r="L87" i="19"/>
  <c r="K87" i="19"/>
  <c r="M86" i="19"/>
  <c r="L86" i="19"/>
  <c r="K86" i="19"/>
  <c r="M85" i="19"/>
  <c r="L85" i="19"/>
  <c r="K85" i="19"/>
  <c r="M84" i="19"/>
  <c r="L84" i="19"/>
  <c r="K84" i="19"/>
  <c r="F82" i="19"/>
  <c r="E82" i="19"/>
  <c r="D82" i="19"/>
  <c r="C82" i="19"/>
  <c r="M80" i="19"/>
  <c r="L80" i="19"/>
  <c r="K80" i="19"/>
  <c r="F78" i="19"/>
  <c r="E78" i="19"/>
  <c r="D78" i="19"/>
  <c r="C78" i="19"/>
  <c r="M69" i="19"/>
  <c r="L69" i="19"/>
  <c r="K69" i="19"/>
  <c r="M68" i="19"/>
  <c r="L68" i="19"/>
  <c r="K68" i="19"/>
  <c r="C68" i="19"/>
  <c r="I65" i="19"/>
  <c r="I64" i="19" s="1"/>
  <c r="I12" i="19" s="1"/>
  <c r="F65" i="19"/>
  <c r="E65" i="19"/>
  <c r="D65" i="19"/>
  <c r="D12" i="19" s="1"/>
  <c r="C65" i="19"/>
  <c r="M62" i="19"/>
  <c r="L62" i="19"/>
  <c r="K62" i="19"/>
  <c r="F60" i="19"/>
  <c r="E60" i="19"/>
  <c r="D60" i="19"/>
  <c r="C60" i="19"/>
  <c r="M59" i="19"/>
  <c r="L59" i="19"/>
  <c r="K59" i="19"/>
  <c r="F57" i="19"/>
  <c r="E57" i="19"/>
  <c r="D57" i="19"/>
  <c r="C57" i="19"/>
  <c r="M55" i="19"/>
  <c r="L55" i="19"/>
  <c r="K55" i="19"/>
  <c r="F53" i="19"/>
  <c r="E53" i="19"/>
  <c r="D53" i="19"/>
  <c r="C53" i="19"/>
  <c r="M48" i="19"/>
  <c r="L48" i="19"/>
  <c r="K48" i="19"/>
  <c r="I45" i="19"/>
  <c r="F45" i="19"/>
  <c r="E45" i="19"/>
  <c r="D45" i="19"/>
  <c r="C45" i="19"/>
  <c r="M41" i="19"/>
  <c r="L41" i="19"/>
  <c r="K41" i="19"/>
  <c r="M40" i="19"/>
  <c r="L40" i="19"/>
  <c r="K40" i="19"/>
  <c r="M39" i="19"/>
  <c r="L39" i="19"/>
  <c r="K39" i="19"/>
  <c r="M38" i="19"/>
  <c r="L38" i="19"/>
  <c r="K38" i="19"/>
  <c r="M37" i="19"/>
  <c r="L37" i="19"/>
  <c r="K37" i="19"/>
  <c r="M36" i="19"/>
  <c r="L36" i="19"/>
  <c r="K36" i="19"/>
  <c r="M35" i="19"/>
  <c r="L35" i="19"/>
  <c r="K35" i="19"/>
  <c r="M34" i="19"/>
  <c r="L34" i="19"/>
  <c r="K34" i="19"/>
  <c r="M33" i="19"/>
  <c r="L33" i="19"/>
  <c r="K33" i="19"/>
  <c r="M32" i="19"/>
  <c r="L32" i="19"/>
  <c r="K32" i="19"/>
  <c r="F29" i="19"/>
  <c r="E29" i="19"/>
  <c r="D29" i="19"/>
  <c r="C29" i="19"/>
  <c r="M25" i="19"/>
  <c r="L25" i="19"/>
  <c r="K25" i="19"/>
  <c r="F23" i="19"/>
  <c r="E23" i="19"/>
  <c r="D23" i="19"/>
  <c r="C23" i="19"/>
  <c r="I11" i="25" l="1"/>
  <c r="H8" i="25"/>
  <c r="I7" i="25"/>
  <c r="J5" i="24"/>
  <c r="I46" i="24"/>
  <c r="J64" i="24"/>
  <c r="K22" i="24"/>
  <c r="L51" i="24"/>
  <c r="I7" i="23"/>
  <c r="J16" i="23"/>
  <c r="M34" i="23"/>
  <c r="I90" i="23"/>
  <c r="I83" i="23"/>
  <c r="I52" i="23"/>
  <c r="J5" i="23"/>
  <c r="I33" i="23"/>
  <c r="I32" i="23" s="1"/>
  <c r="I36" i="23" s="1"/>
  <c r="C19" i="7"/>
  <c r="D19" i="7" s="1"/>
  <c r="E19" i="7" s="1"/>
  <c r="F19" i="7" s="1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D28" i="1"/>
  <c r="C23" i="7"/>
  <c r="D23" i="7" s="1"/>
  <c r="E23" i="7" s="1"/>
  <c r="F23" i="7" s="1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W23" i="7" s="1"/>
  <c r="X23" i="7" s="1"/>
  <c r="Y23" i="7" s="1"/>
  <c r="D32" i="1"/>
  <c r="C21" i="7"/>
  <c r="D21" i="7" s="1"/>
  <c r="E21" i="7" s="1"/>
  <c r="F21" i="7" s="1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W21" i="7" s="1"/>
  <c r="X21" i="7" s="1"/>
  <c r="Y21" i="7" s="1"/>
  <c r="D30" i="1"/>
  <c r="C22" i="7"/>
  <c r="D22" i="7" s="1"/>
  <c r="E22" i="7" s="1"/>
  <c r="F22" i="7" s="1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W22" i="7" s="1"/>
  <c r="X22" i="7" s="1"/>
  <c r="Y22" i="7" s="1"/>
  <c r="D31" i="1"/>
  <c r="D97" i="19"/>
  <c r="E97" i="19"/>
  <c r="H98" i="19"/>
  <c r="I97" i="19" s="1"/>
  <c r="I96" i="19" s="1"/>
  <c r="I15" i="19" s="1"/>
  <c r="C24" i="7"/>
  <c r="D24" i="7" s="1"/>
  <c r="E24" i="7" s="1"/>
  <c r="F24" i="7" s="1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Y24" i="7" s="1"/>
  <c r="E12" i="19"/>
  <c r="F12" i="19"/>
  <c r="E9" i="19"/>
  <c r="F9" i="19"/>
  <c r="D9" i="19"/>
  <c r="I22" i="19"/>
  <c r="I9" i="19" s="1"/>
  <c r="J11" i="25" l="1"/>
  <c r="I8" i="25"/>
  <c r="J7" i="25"/>
  <c r="K64" i="24"/>
  <c r="M51" i="24"/>
  <c r="J46" i="24"/>
  <c r="K5" i="24"/>
  <c r="L22" i="24"/>
  <c r="K16" i="23"/>
  <c r="J52" i="23"/>
  <c r="J90" i="23"/>
  <c r="J83" i="23"/>
  <c r="J33" i="23"/>
  <c r="J32" i="23" s="1"/>
  <c r="J36" i="23" s="1"/>
  <c r="K5" i="23"/>
  <c r="N34" i="23"/>
  <c r="J7" i="23"/>
  <c r="D7" i="19"/>
  <c r="D6" i="19"/>
  <c r="D14" i="20" s="1"/>
  <c r="I6" i="19"/>
  <c r="F14" i="20" s="1"/>
  <c r="F15" i="20" s="1"/>
  <c r="F16" i="20" s="1"/>
  <c r="C27" i="1" s="1"/>
  <c r="E7" i="19"/>
  <c r="E6" i="19"/>
  <c r="D15" i="20" s="1"/>
  <c r="G15" i="20" s="1"/>
  <c r="E15" i="20" s="1"/>
  <c r="F6" i="19"/>
  <c r="D16" i="20" s="1"/>
  <c r="C26" i="1" s="1"/>
  <c r="F7" i="19"/>
  <c r="D26" i="1" l="1"/>
  <c r="C17" i="23"/>
  <c r="K7" i="25"/>
  <c r="J8" i="25"/>
  <c r="K11" i="25"/>
  <c r="L64" i="24"/>
  <c r="M22" i="24"/>
  <c r="L5" i="24"/>
  <c r="K46" i="24"/>
  <c r="N51" i="24"/>
  <c r="O34" i="23"/>
  <c r="K52" i="23"/>
  <c r="K83" i="23"/>
  <c r="K90" i="23"/>
  <c r="K33" i="23"/>
  <c r="K32" i="23" s="1"/>
  <c r="K36" i="23" s="1"/>
  <c r="L5" i="23"/>
  <c r="L16" i="23"/>
  <c r="K7" i="23"/>
  <c r="C18" i="7"/>
  <c r="D18" i="7" s="1"/>
  <c r="E18" i="7" s="1"/>
  <c r="F18" i="7" s="1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W18" i="7" s="1"/>
  <c r="X18" i="7" s="1"/>
  <c r="Y18" i="7" s="1"/>
  <c r="D27" i="1"/>
  <c r="G14" i="20"/>
  <c r="G16" i="20"/>
  <c r="I5" i="1"/>
  <c r="C7" i="7" s="1"/>
  <c r="D5" i="7"/>
  <c r="D17" i="23" l="1"/>
  <c r="L7" i="25"/>
  <c r="K8" i="25"/>
  <c r="L11" i="25"/>
  <c r="O51" i="24"/>
  <c r="M5" i="24"/>
  <c r="L46" i="24"/>
  <c r="N22" i="24"/>
  <c r="M64" i="24"/>
  <c r="M16" i="23"/>
  <c r="L52" i="23"/>
  <c r="L83" i="23"/>
  <c r="L33" i="23"/>
  <c r="L32" i="23" s="1"/>
  <c r="L36" i="23" s="1"/>
  <c r="L90" i="23"/>
  <c r="M5" i="23"/>
  <c r="L7" i="23"/>
  <c r="P34" i="23"/>
  <c r="D25" i="20"/>
  <c r="G25" i="20" s="1"/>
  <c r="E14" i="20"/>
  <c r="E16" i="20"/>
  <c r="C17" i="7"/>
  <c r="E17" i="23" l="1"/>
  <c r="L8" i="25"/>
  <c r="M7" i="25"/>
  <c r="M11" i="25"/>
  <c r="O22" i="24"/>
  <c r="M46" i="24"/>
  <c r="N5" i="24"/>
  <c r="P51" i="24"/>
  <c r="N64" i="24"/>
  <c r="M52" i="23"/>
  <c r="M83" i="23"/>
  <c r="M33" i="23"/>
  <c r="M32" i="23" s="1"/>
  <c r="M36" i="23" s="1"/>
  <c r="M90" i="23"/>
  <c r="N5" i="23"/>
  <c r="Q34" i="23"/>
  <c r="M7" i="23"/>
  <c r="N16" i="23"/>
  <c r="G31" i="20"/>
  <c r="C29" i="1"/>
  <c r="C11" i="18"/>
  <c r="I37" i="1" s="1"/>
  <c r="I47" i="1"/>
  <c r="D29" i="1" l="1"/>
  <c r="C20" i="23"/>
  <c r="F17" i="23"/>
  <c r="N11" i="25"/>
  <c r="M8" i="25"/>
  <c r="N7" i="25"/>
  <c r="O5" i="24"/>
  <c r="O64" i="24"/>
  <c r="Q51" i="24"/>
  <c r="N46" i="24"/>
  <c r="P22" i="24"/>
  <c r="O16" i="23"/>
  <c r="R34" i="23"/>
  <c r="N90" i="23"/>
  <c r="N52" i="23"/>
  <c r="N83" i="23"/>
  <c r="N33" i="23"/>
  <c r="N32" i="23" s="1"/>
  <c r="N36" i="23" s="1"/>
  <c r="O5" i="23"/>
  <c r="N7" i="23"/>
  <c r="C20" i="7"/>
  <c r="D20" i="7" s="1"/>
  <c r="E20" i="7" s="1"/>
  <c r="F20" i="7" s="1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W20" i="7" s="1"/>
  <c r="X20" i="7" s="1"/>
  <c r="Y20" i="7" s="1"/>
  <c r="C40" i="1"/>
  <c r="D40" i="1" s="1"/>
  <c r="E31" i="20"/>
  <c r="G33" i="20"/>
  <c r="E33" i="20" s="1"/>
  <c r="I35" i="1"/>
  <c r="I7" i="1"/>
  <c r="C9" i="7" s="1"/>
  <c r="D9" i="7" s="1"/>
  <c r="E9" i="7" s="1"/>
  <c r="F9" i="7" s="1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W9" i="7" s="1"/>
  <c r="X9" i="7" s="1"/>
  <c r="Y9" i="7" s="1"/>
  <c r="I6" i="1"/>
  <c r="D16" i="1"/>
  <c r="D16" i="7" s="1"/>
  <c r="E16" i="7" s="1"/>
  <c r="F16" i="7" s="1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Y16" i="7" s="1"/>
  <c r="D7" i="7"/>
  <c r="E7" i="7" s="1"/>
  <c r="F7" i="7" s="1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C8" i="7" l="1"/>
  <c r="C8" i="23"/>
  <c r="D8" i="23" s="1"/>
  <c r="E8" i="23" s="1"/>
  <c r="F8" i="23" s="1"/>
  <c r="G8" i="23" s="1"/>
  <c r="H8" i="23" s="1"/>
  <c r="I8" i="23" s="1"/>
  <c r="J8" i="23" s="1"/>
  <c r="K8" i="23" s="1"/>
  <c r="L8" i="23" s="1"/>
  <c r="M8" i="23" s="1"/>
  <c r="N8" i="23" s="1"/>
  <c r="O8" i="23" s="1"/>
  <c r="P8" i="23" s="1"/>
  <c r="Q8" i="23" s="1"/>
  <c r="R8" i="23" s="1"/>
  <c r="S8" i="23" s="1"/>
  <c r="T8" i="23" s="1"/>
  <c r="U8" i="23" s="1"/>
  <c r="V8" i="23" s="1"/>
  <c r="W8" i="23" s="1"/>
  <c r="X8" i="23" s="1"/>
  <c r="Y8" i="23" s="1"/>
  <c r="G17" i="23"/>
  <c r="D20" i="23"/>
  <c r="C29" i="23"/>
  <c r="C87" i="23"/>
  <c r="N8" i="25"/>
  <c r="O7" i="25"/>
  <c r="O11" i="25"/>
  <c r="P64" i="24"/>
  <c r="O46" i="24"/>
  <c r="R51" i="24"/>
  <c r="Q22" i="24"/>
  <c r="P5" i="24"/>
  <c r="P16" i="23"/>
  <c r="O52" i="23"/>
  <c r="O83" i="23"/>
  <c r="O33" i="23"/>
  <c r="O32" i="23" s="1"/>
  <c r="O36" i="23" s="1"/>
  <c r="O90" i="23"/>
  <c r="P5" i="23"/>
  <c r="O7" i="23"/>
  <c r="S34" i="23"/>
  <c r="C19" i="18"/>
  <c r="E20" i="23" l="1"/>
  <c r="D87" i="23"/>
  <c r="D29" i="23"/>
  <c r="H17" i="23"/>
  <c r="P11" i="25"/>
  <c r="O8" i="25"/>
  <c r="P7" i="25"/>
  <c r="Q5" i="24"/>
  <c r="R22" i="24"/>
  <c r="S51" i="24"/>
  <c r="P46" i="24"/>
  <c r="Q64" i="24"/>
  <c r="T34" i="23"/>
  <c r="P33" i="23"/>
  <c r="P32" i="23" s="1"/>
  <c r="P36" i="23" s="1"/>
  <c r="P83" i="23"/>
  <c r="Q5" i="23"/>
  <c r="P52" i="23"/>
  <c r="P90" i="23"/>
  <c r="P7" i="23"/>
  <c r="Q16" i="23"/>
  <c r="C5" i="18"/>
  <c r="I36" i="1"/>
  <c r="C21" i="18"/>
  <c r="I17" i="23" l="1"/>
  <c r="F20" i="23"/>
  <c r="E29" i="23"/>
  <c r="E87" i="23"/>
  <c r="Q7" i="25"/>
  <c r="P8" i="25"/>
  <c r="Q11" i="25"/>
  <c r="Q46" i="24"/>
  <c r="T51" i="24"/>
  <c r="S22" i="24"/>
  <c r="R64" i="24"/>
  <c r="R5" i="24"/>
  <c r="Q52" i="23"/>
  <c r="Q90" i="23"/>
  <c r="Q83" i="23"/>
  <c r="R5" i="23"/>
  <c r="Q33" i="23"/>
  <c r="Q32" i="23" s="1"/>
  <c r="Q36" i="23" s="1"/>
  <c r="Q7" i="23"/>
  <c r="R16" i="23"/>
  <c r="U34" i="23"/>
  <c r="H57" i="1"/>
  <c r="I42" i="1"/>
  <c r="H58" i="1"/>
  <c r="G20" i="23" l="1"/>
  <c r="F87" i="23"/>
  <c r="F29" i="23"/>
  <c r="J17" i="23"/>
  <c r="R11" i="25"/>
  <c r="Q8" i="25"/>
  <c r="R7" i="25"/>
  <c r="U51" i="24"/>
  <c r="T22" i="24"/>
  <c r="S5" i="24"/>
  <c r="R46" i="24"/>
  <c r="S64" i="24"/>
  <c r="R7" i="23"/>
  <c r="V34" i="23"/>
  <c r="R83" i="23"/>
  <c r="R52" i="23"/>
  <c r="R90" i="23"/>
  <c r="S5" i="23"/>
  <c r="R33" i="23"/>
  <c r="R32" i="23" s="1"/>
  <c r="R36" i="23" s="1"/>
  <c r="S16" i="23"/>
  <c r="C35" i="7"/>
  <c r="K17" i="23" l="1"/>
  <c r="H20" i="23"/>
  <c r="G29" i="23"/>
  <c r="G87" i="23"/>
  <c r="R8" i="25"/>
  <c r="S7" i="25"/>
  <c r="S11" i="25"/>
  <c r="T5" i="24"/>
  <c r="T64" i="24"/>
  <c r="U22" i="24"/>
  <c r="V51" i="24"/>
  <c r="S46" i="24"/>
  <c r="T16" i="23"/>
  <c r="S7" i="23"/>
  <c r="S83" i="23"/>
  <c r="S90" i="23"/>
  <c r="T5" i="23"/>
  <c r="S52" i="23"/>
  <c r="S33" i="23"/>
  <c r="S32" i="23" s="1"/>
  <c r="S36" i="23" s="1"/>
  <c r="D8" i="7"/>
  <c r="E8" i="7" s="1"/>
  <c r="F8" i="7" s="1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I20" i="23" l="1"/>
  <c r="H29" i="23"/>
  <c r="H87" i="23"/>
  <c r="L17" i="23"/>
  <c r="T11" i="25"/>
  <c r="S8" i="25"/>
  <c r="T7" i="25"/>
  <c r="W51" i="24"/>
  <c r="V22" i="24"/>
  <c r="U64" i="24"/>
  <c r="T46" i="24"/>
  <c r="U5" i="24"/>
  <c r="T83" i="23"/>
  <c r="T90" i="23"/>
  <c r="T33" i="23"/>
  <c r="T32" i="23" s="1"/>
  <c r="T36" i="23" s="1"/>
  <c r="U5" i="23"/>
  <c r="T52" i="23"/>
  <c r="T7" i="23"/>
  <c r="U16" i="23"/>
  <c r="I43" i="1"/>
  <c r="I57" i="1"/>
  <c r="M17" i="23" l="1"/>
  <c r="J20" i="23"/>
  <c r="I87" i="23"/>
  <c r="I29" i="23"/>
  <c r="U11" i="25"/>
  <c r="T8" i="25"/>
  <c r="U7" i="25"/>
  <c r="U46" i="24"/>
  <c r="V64" i="24"/>
  <c r="W22" i="24"/>
  <c r="V5" i="24"/>
  <c r="X51" i="24"/>
  <c r="V16" i="23"/>
  <c r="U7" i="23"/>
  <c r="U83" i="23"/>
  <c r="U90" i="23"/>
  <c r="U52" i="23"/>
  <c r="U33" i="23"/>
  <c r="U32" i="23" s="1"/>
  <c r="U36" i="23" s="1"/>
  <c r="V5" i="23"/>
  <c r="J57" i="1"/>
  <c r="R53" i="1"/>
  <c r="K20" i="23" l="1"/>
  <c r="J29" i="23"/>
  <c r="J87" i="23"/>
  <c r="N17" i="23"/>
  <c r="U8" i="25"/>
  <c r="V7" i="25"/>
  <c r="V11" i="25"/>
  <c r="X22" i="24"/>
  <c r="W64" i="24"/>
  <c r="Y51" i="24"/>
  <c r="W5" i="24"/>
  <c r="V46" i="24"/>
  <c r="V7" i="23"/>
  <c r="V90" i="23"/>
  <c r="V83" i="23"/>
  <c r="V33" i="23"/>
  <c r="V32" i="23" s="1"/>
  <c r="V36" i="23" s="1"/>
  <c r="V52" i="23"/>
  <c r="W5" i="23"/>
  <c r="W16" i="23"/>
  <c r="C51" i="1"/>
  <c r="AG76" i="7"/>
  <c r="Z89" i="23" l="1"/>
  <c r="AA89" i="23" s="1"/>
  <c r="AB89" i="23" s="1"/>
  <c r="AC89" i="23" s="1"/>
  <c r="AD89" i="23" s="1"/>
  <c r="AE89" i="23" s="1"/>
  <c r="AA82" i="23"/>
  <c r="AB82" i="23" s="1"/>
  <c r="AC82" i="23" s="1"/>
  <c r="AD82" i="23" s="1"/>
  <c r="AE82" i="23" s="1"/>
  <c r="AF82" i="23" s="1"/>
  <c r="AG82" i="23" s="1"/>
  <c r="AA21" i="24"/>
  <c r="AB21" i="24" s="1"/>
  <c r="AC21" i="24" s="1"/>
  <c r="AD21" i="24" s="1"/>
  <c r="AE21" i="24" s="1"/>
  <c r="AF21" i="24" s="1"/>
  <c r="AG21" i="24" s="1"/>
  <c r="Z6" i="25"/>
  <c r="AA6" i="25" s="1"/>
  <c r="AB6" i="25" s="1"/>
  <c r="AC6" i="25" s="1"/>
  <c r="AD6" i="25" s="1"/>
  <c r="AE6" i="25" s="1"/>
  <c r="AF6" i="25" s="1"/>
  <c r="O17" i="23"/>
  <c r="L20" i="23"/>
  <c r="K29" i="23"/>
  <c r="K87" i="23"/>
  <c r="W11" i="25"/>
  <c r="V8" i="25"/>
  <c r="W7" i="25"/>
  <c r="Z51" i="24"/>
  <c r="W46" i="24"/>
  <c r="X64" i="24"/>
  <c r="Y22" i="24"/>
  <c r="X5" i="24"/>
  <c r="W7" i="23"/>
  <c r="W90" i="23"/>
  <c r="W34" i="23"/>
  <c r="W83" i="23"/>
  <c r="W52" i="23"/>
  <c r="W33" i="23"/>
  <c r="X5" i="23"/>
  <c r="X16" i="23"/>
  <c r="C61" i="1"/>
  <c r="C62" i="1"/>
  <c r="C63" i="24" l="1"/>
  <c r="AG89" i="23"/>
  <c r="AF89" i="23"/>
  <c r="M20" i="23"/>
  <c r="L87" i="23"/>
  <c r="L29" i="23"/>
  <c r="P17" i="23"/>
  <c r="W8" i="25"/>
  <c r="X7" i="25"/>
  <c r="X11" i="25"/>
  <c r="Y5" i="24"/>
  <c r="Z22" i="24"/>
  <c r="Z25" i="24" s="1"/>
  <c r="Y64" i="24"/>
  <c r="X46" i="24"/>
  <c r="AA51" i="24"/>
  <c r="X7" i="23"/>
  <c r="X90" i="23"/>
  <c r="X83" i="23"/>
  <c r="X52" i="23"/>
  <c r="X33" i="23"/>
  <c r="X34" i="23"/>
  <c r="Y5" i="23"/>
  <c r="W32" i="23"/>
  <c r="W36" i="23" s="1"/>
  <c r="Y16" i="23"/>
  <c r="C72" i="7"/>
  <c r="B55" i="7"/>
  <c r="C52" i="7"/>
  <c r="AG56" i="7"/>
  <c r="AG55" i="7"/>
  <c r="C33" i="7"/>
  <c r="D28" i="7"/>
  <c r="E28" i="7" s="1"/>
  <c r="F28" i="7" s="1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W28" i="7" s="1"/>
  <c r="X28" i="7" s="1"/>
  <c r="Y28" i="7" s="1"/>
  <c r="AR5" i="2"/>
  <c r="Z6" i="15"/>
  <c r="AA6" i="15" s="1"/>
  <c r="AB6" i="15" s="1"/>
  <c r="AC6" i="15" s="1"/>
  <c r="AD6" i="15" s="1"/>
  <c r="AE6" i="15" s="1"/>
  <c r="AF6" i="15" s="1"/>
  <c r="D7" i="15"/>
  <c r="D46" i="8"/>
  <c r="E46" i="8" s="1"/>
  <c r="F46" i="8" s="1"/>
  <c r="G46" i="8" s="1"/>
  <c r="H46" i="8" s="1"/>
  <c r="I46" i="8" s="1"/>
  <c r="J46" i="8" s="1"/>
  <c r="K46" i="8" s="1"/>
  <c r="L46" i="8" s="1"/>
  <c r="M46" i="8" s="1"/>
  <c r="N46" i="8" s="1"/>
  <c r="O46" i="8" s="1"/>
  <c r="P46" i="8" s="1"/>
  <c r="Q46" i="8" s="1"/>
  <c r="R46" i="8" s="1"/>
  <c r="S46" i="8" s="1"/>
  <c r="T46" i="8" s="1"/>
  <c r="U46" i="8" s="1"/>
  <c r="V46" i="8" s="1"/>
  <c r="W46" i="8" s="1"/>
  <c r="X46" i="8" s="1"/>
  <c r="Y46" i="8" s="1"/>
  <c r="Z46" i="8" s="1"/>
  <c r="AA46" i="8" s="1"/>
  <c r="AB46" i="8" s="1"/>
  <c r="AC46" i="8" s="1"/>
  <c r="AD46" i="8" s="1"/>
  <c r="AE46" i="8" s="1"/>
  <c r="AF46" i="8" s="1"/>
  <c r="AG46" i="8" s="1"/>
  <c r="C33" i="8"/>
  <c r="G4" i="5"/>
  <c r="M4" i="5"/>
  <c r="S4" i="5"/>
  <c r="Y4" i="5"/>
  <c r="AE4" i="5"/>
  <c r="AK4" i="5"/>
  <c r="Z21" i="8"/>
  <c r="AA21" i="8" s="1"/>
  <c r="AB21" i="8" s="1"/>
  <c r="AC21" i="8" s="1"/>
  <c r="AD21" i="8" s="1"/>
  <c r="AE21" i="8" s="1"/>
  <c r="AF21" i="8" s="1"/>
  <c r="AG21" i="8" s="1"/>
  <c r="AA89" i="7"/>
  <c r="AB89" i="7" s="1"/>
  <c r="AC89" i="7" s="1"/>
  <c r="AD89" i="7" s="1"/>
  <c r="AE89" i="7" s="1"/>
  <c r="AA82" i="7"/>
  <c r="AB82" i="7" s="1"/>
  <c r="AC82" i="7" s="1"/>
  <c r="AD82" i="7" s="1"/>
  <c r="AE82" i="7" s="1"/>
  <c r="AF82" i="7" s="1"/>
  <c r="AG82" i="7" s="1"/>
  <c r="D5" i="8"/>
  <c r="C90" i="7"/>
  <c r="C83" i="7"/>
  <c r="C48" i="1"/>
  <c r="D33" i="7"/>
  <c r="E5" i="8"/>
  <c r="F5" i="8"/>
  <c r="G5" i="8"/>
  <c r="H5" i="8"/>
  <c r="I5" i="8"/>
  <c r="J5" i="8"/>
  <c r="K5" i="8"/>
  <c r="L5" i="8" s="1"/>
  <c r="M5" i="8" s="1"/>
  <c r="N5" i="8" s="1"/>
  <c r="O5" i="8" s="1"/>
  <c r="P5" i="8" s="1"/>
  <c r="Q5" i="8" s="1"/>
  <c r="R5" i="8" s="1"/>
  <c r="S5" i="8" s="1"/>
  <c r="T5" i="8" s="1"/>
  <c r="U5" i="8" s="1"/>
  <c r="V5" i="8" s="1"/>
  <c r="W5" i="8" s="1"/>
  <c r="X5" i="8" s="1"/>
  <c r="Y5" i="8" s="1"/>
  <c r="Z5" i="8" s="1"/>
  <c r="AA5" i="8" s="1"/>
  <c r="AB5" i="8" s="1"/>
  <c r="AC5" i="8" s="1"/>
  <c r="AD5" i="8" s="1"/>
  <c r="AE5" i="8" s="1"/>
  <c r="AF5" i="8" s="1"/>
  <c r="AG5" i="8" s="1"/>
  <c r="D51" i="8"/>
  <c r="E51" i="8"/>
  <c r="F51" i="8"/>
  <c r="G51" i="8"/>
  <c r="H51" i="8"/>
  <c r="I51" i="8" s="1"/>
  <c r="J51" i="8" s="1"/>
  <c r="K51" i="8" s="1"/>
  <c r="L51" i="8" s="1"/>
  <c r="M51" i="8" s="1"/>
  <c r="N51" i="8" s="1"/>
  <c r="O51" i="8" s="1"/>
  <c r="P51" i="8" s="1"/>
  <c r="Q51" i="8" s="1"/>
  <c r="R51" i="8" s="1"/>
  <c r="S51" i="8" s="1"/>
  <c r="T51" i="8" s="1"/>
  <c r="U51" i="8" s="1"/>
  <c r="V51" i="8" s="1"/>
  <c r="W51" i="8" s="1"/>
  <c r="X51" i="8" s="1"/>
  <c r="Y51" i="8" s="1"/>
  <c r="Z51" i="8" s="1"/>
  <c r="AA51" i="8" s="1"/>
  <c r="AB51" i="8" s="1"/>
  <c r="AC51" i="8" s="1"/>
  <c r="AD51" i="8" s="1"/>
  <c r="AE51" i="8" s="1"/>
  <c r="AF51" i="8" s="1"/>
  <c r="AG51" i="8" s="1"/>
  <c r="I44" i="1"/>
  <c r="I10" i="1" s="1"/>
  <c r="X12" i="23" s="1"/>
  <c r="G19" i="6"/>
  <c r="G17" i="6" s="1"/>
  <c r="I39" i="1"/>
  <c r="J39" i="1" s="1"/>
  <c r="K55" i="1"/>
  <c r="H59" i="1"/>
  <c r="H60" i="1"/>
  <c r="J60" i="1" s="1"/>
  <c r="J38" i="1"/>
  <c r="P53" i="1"/>
  <c r="C19" i="21" s="1"/>
  <c r="J37" i="1"/>
  <c r="J36" i="1"/>
  <c r="J35" i="1"/>
  <c r="C52" i="1"/>
  <c r="W20" i="2"/>
  <c r="I34" i="1"/>
  <c r="AI30" i="2" s="1"/>
  <c r="D22" i="8"/>
  <c r="E22" i="8" s="1"/>
  <c r="F22" i="8" s="1"/>
  <c r="G22" i="8" s="1"/>
  <c r="H22" i="8" s="1"/>
  <c r="I22" i="8" s="1"/>
  <c r="J22" i="8" s="1"/>
  <c r="K22" i="8" s="1"/>
  <c r="L22" i="8" s="1"/>
  <c r="M22" i="8" s="1"/>
  <c r="N22" i="8" s="1"/>
  <c r="O22" i="8" s="1"/>
  <c r="P22" i="8" s="1"/>
  <c r="Q22" i="8" s="1"/>
  <c r="R22" i="8" s="1"/>
  <c r="S22" i="8" s="1"/>
  <c r="T22" i="8" s="1"/>
  <c r="U22" i="8" s="1"/>
  <c r="V22" i="8" s="1"/>
  <c r="W22" i="8" s="1"/>
  <c r="X22" i="8" s="1"/>
  <c r="Y22" i="8" s="1"/>
  <c r="Z22" i="8" s="1"/>
  <c r="AA22" i="8" s="1"/>
  <c r="AB22" i="8" s="1"/>
  <c r="AC22" i="8" s="1"/>
  <c r="AD22" i="8" s="1"/>
  <c r="AE22" i="8" s="1"/>
  <c r="AF22" i="8" s="1"/>
  <c r="AG22" i="8" s="1"/>
  <c r="AG25" i="8" s="1"/>
  <c r="C9" i="11"/>
  <c r="F30" i="11"/>
  <c r="F33" i="11"/>
  <c r="F34" i="11"/>
  <c r="F16" i="11"/>
  <c r="F15" i="11"/>
  <c r="F14" i="11"/>
  <c r="F12" i="11"/>
  <c r="F11" i="11"/>
  <c r="F10" i="11"/>
  <c r="F9" i="11"/>
  <c r="F8" i="11"/>
  <c r="F7" i="11"/>
  <c r="F5" i="11"/>
  <c r="C24" i="11"/>
  <c r="C23" i="11"/>
  <c r="C22" i="11"/>
  <c r="C15" i="11"/>
  <c r="C14" i="11"/>
  <c r="C13" i="11"/>
  <c r="C11" i="11"/>
  <c r="C10" i="11"/>
  <c r="C8" i="11"/>
  <c r="C7" i="11"/>
  <c r="C6" i="11"/>
  <c r="C34" i="7"/>
  <c r="D34" i="7" s="1"/>
  <c r="E34" i="7" s="1"/>
  <c r="F34" i="7" s="1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D17" i="7"/>
  <c r="E17" i="7" s="1"/>
  <c r="F17" i="7" s="1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W17" i="7" s="1"/>
  <c r="X17" i="7" s="1"/>
  <c r="Y17" i="7" s="1"/>
  <c r="AA13" i="2"/>
  <c r="J13" i="2"/>
  <c r="J11" i="2"/>
  <c r="J12" i="2"/>
  <c r="M29" i="1"/>
  <c r="C63" i="1"/>
  <c r="C18" i="11" s="1"/>
  <c r="C17" i="11"/>
  <c r="D18" i="1"/>
  <c r="D17" i="1"/>
  <c r="C16" i="11"/>
  <c r="G27" i="6"/>
  <c r="G25" i="6" s="1"/>
  <c r="AR8" i="2"/>
  <c r="J8" i="2"/>
  <c r="J6" i="2"/>
  <c r="AD14" i="6"/>
  <c r="AE14" i="6" s="1"/>
  <c r="AF14" i="6" s="1"/>
  <c r="AG14" i="6" s="1"/>
  <c r="AH14" i="6" s="1"/>
  <c r="AI14" i="6" s="1"/>
  <c r="AJ14" i="6" s="1"/>
  <c r="AD4" i="6"/>
  <c r="AE4" i="6" s="1"/>
  <c r="AF4" i="6" s="1"/>
  <c r="AG4" i="6" s="1"/>
  <c r="AH4" i="6" s="1"/>
  <c r="AI4" i="6" s="1"/>
  <c r="AJ4" i="6" s="1"/>
  <c r="D64" i="8"/>
  <c r="E64" i="8" s="1"/>
  <c r="F64" i="8" s="1"/>
  <c r="G64" i="8" s="1"/>
  <c r="H64" i="8" s="1"/>
  <c r="I64" i="8" s="1"/>
  <c r="J64" i="8" s="1"/>
  <c r="K64" i="8" s="1"/>
  <c r="L64" i="8" s="1"/>
  <c r="M64" i="8" s="1"/>
  <c r="N64" i="8" s="1"/>
  <c r="O64" i="8" s="1"/>
  <c r="P64" i="8" s="1"/>
  <c r="Q64" i="8" s="1"/>
  <c r="R64" i="8" s="1"/>
  <c r="S64" i="8" s="1"/>
  <c r="T64" i="8" s="1"/>
  <c r="U64" i="8" s="1"/>
  <c r="V64" i="8" s="1"/>
  <c r="W64" i="8" s="1"/>
  <c r="X64" i="8" s="1"/>
  <c r="Y64" i="8" s="1"/>
  <c r="Z64" i="8" s="1"/>
  <c r="AA64" i="8" s="1"/>
  <c r="AB64" i="8" s="1"/>
  <c r="AC64" i="8" s="1"/>
  <c r="AD64" i="8" s="1"/>
  <c r="AE64" i="8" s="1"/>
  <c r="AF64" i="8" s="1"/>
  <c r="AG64" i="8" s="1"/>
  <c r="G78" i="6"/>
  <c r="G77" i="6" s="1"/>
  <c r="AJ27" i="6"/>
  <c r="AJ25" i="6" s="1"/>
  <c r="AI27" i="6"/>
  <c r="AI25" i="6" s="1"/>
  <c r="AH27" i="6"/>
  <c r="AH25" i="6" s="1"/>
  <c r="AG27" i="6"/>
  <c r="AG25" i="6" s="1"/>
  <c r="AF27" i="6"/>
  <c r="AF25" i="6" s="1"/>
  <c r="AE27" i="6"/>
  <c r="AE25" i="6" s="1"/>
  <c r="AD27" i="6"/>
  <c r="AD25" i="6" s="1"/>
  <c r="AC27" i="6"/>
  <c r="AC25" i="6" s="1"/>
  <c r="AB27" i="6"/>
  <c r="AB25" i="6" s="1"/>
  <c r="AA27" i="6"/>
  <c r="AA25" i="6" s="1"/>
  <c r="Z27" i="6"/>
  <c r="Z25" i="6" s="1"/>
  <c r="Y27" i="6"/>
  <c r="Y25" i="6" s="1"/>
  <c r="X27" i="6"/>
  <c r="X25" i="6" s="1"/>
  <c r="W27" i="6"/>
  <c r="W25" i="6" s="1"/>
  <c r="V27" i="6"/>
  <c r="V25" i="6" s="1"/>
  <c r="U27" i="6"/>
  <c r="U25" i="6" s="1"/>
  <c r="T27" i="6"/>
  <c r="T25" i="6" s="1"/>
  <c r="S27" i="6"/>
  <c r="S25" i="6" s="1"/>
  <c r="R27" i="6"/>
  <c r="R25" i="6" s="1"/>
  <c r="Q27" i="6"/>
  <c r="Q25" i="6" s="1"/>
  <c r="P27" i="6"/>
  <c r="P25" i="6" s="1"/>
  <c r="O27" i="6"/>
  <c r="O25" i="6" s="1"/>
  <c r="N27" i="6"/>
  <c r="N25" i="6" s="1"/>
  <c r="M27" i="6"/>
  <c r="M25" i="6" s="1"/>
  <c r="L27" i="6"/>
  <c r="L25" i="6" s="1"/>
  <c r="K27" i="6"/>
  <c r="K25" i="6" s="1"/>
  <c r="G55" i="1"/>
  <c r="G21" i="6"/>
  <c r="AJ19" i="6"/>
  <c r="AJ17" i="6" s="1"/>
  <c r="AI19" i="6"/>
  <c r="AI17" i="6" s="1"/>
  <c r="AH19" i="6"/>
  <c r="AH17" i="6" s="1"/>
  <c r="AG19" i="6"/>
  <c r="AG17" i="6" s="1"/>
  <c r="AF19" i="6"/>
  <c r="AF17" i="6" s="1"/>
  <c r="AC21" i="6"/>
  <c r="AE19" i="6"/>
  <c r="AE17" i="6" s="1"/>
  <c r="AD19" i="6"/>
  <c r="AD17" i="6" s="1"/>
  <c r="AC19" i="6"/>
  <c r="AC17" i="6" s="1"/>
  <c r="AB19" i="6"/>
  <c r="AB17" i="6" s="1"/>
  <c r="AA19" i="6"/>
  <c r="AA17" i="6" s="1"/>
  <c r="Z19" i="6"/>
  <c r="Z17" i="6" s="1"/>
  <c r="Y19" i="6"/>
  <c r="Y17" i="6" s="1"/>
  <c r="X19" i="6"/>
  <c r="X17" i="6" s="1"/>
  <c r="W19" i="6"/>
  <c r="W17" i="6" s="1"/>
  <c r="V19" i="6"/>
  <c r="V17" i="6" s="1"/>
  <c r="U19" i="6"/>
  <c r="U17" i="6" s="1"/>
  <c r="T19" i="6"/>
  <c r="T17" i="6" s="1"/>
  <c r="S19" i="6"/>
  <c r="S17" i="6" s="1"/>
  <c r="R19" i="6"/>
  <c r="R17" i="6" s="1"/>
  <c r="Q19" i="6"/>
  <c r="Q17" i="6" s="1"/>
  <c r="P19" i="6"/>
  <c r="P17" i="6" s="1"/>
  <c r="O19" i="6"/>
  <c r="O17" i="6" s="1"/>
  <c r="N19" i="6"/>
  <c r="N17" i="6" s="1"/>
  <c r="M19" i="6"/>
  <c r="M17" i="6" s="1"/>
  <c r="L19" i="6"/>
  <c r="L17" i="6" s="1"/>
  <c r="K19" i="6"/>
  <c r="K17" i="6" s="1"/>
  <c r="J19" i="6"/>
  <c r="J17" i="6" s="1"/>
  <c r="I19" i="6"/>
  <c r="I17" i="6" s="1"/>
  <c r="H19" i="6"/>
  <c r="AR23" i="2"/>
  <c r="AN13" i="2"/>
  <c r="AN12" i="2"/>
  <c r="AD10" i="2"/>
  <c r="AD9" i="2"/>
  <c r="AD8" i="2"/>
  <c r="AD7" i="2"/>
  <c r="AD6" i="2"/>
  <c r="AD5" i="2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H76" i="6"/>
  <c r="H79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H40" i="6"/>
  <c r="I40" i="6" s="1"/>
  <c r="J40" i="6" s="1"/>
  <c r="K40" i="6" s="1"/>
  <c r="L40" i="6" s="1"/>
  <c r="M40" i="6" s="1"/>
  <c r="N40" i="6" s="1"/>
  <c r="O40" i="6" s="1"/>
  <c r="P40" i="6" s="1"/>
  <c r="Q40" i="6" s="1"/>
  <c r="R40" i="6" s="1"/>
  <c r="S40" i="6" s="1"/>
  <c r="T40" i="6" s="1"/>
  <c r="U40" i="6" s="1"/>
  <c r="V40" i="6" s="1"/>
  <c r="W40" i="6" s="1"/>
  <c r="X40" i="6" s="1"/>
  <c r="Y40" i="6" s="1"/>
  <c r="Z40" i="6" s="1"/>
  <c r="AA40" i="6" s="1"/>
  <c r="F32" i="6"/>
  <c r="F31" i="6"/>
  <c r="F30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8" i="6"/>
  <c r="F26" i="6"/>
  <c r="F24" i="6"/>
  <c r="F23" i="6"/>
  <c r="F22" i="6"/>
  <c r="AJ21" i="6"/>
  <c r="AI21" i="6"/>
  <c r="AH21" i="6"/>
  <c r="AG21" i="6"/>
  <c r="AF21" i="6"/>
  <c r="AE21" i="6"/>
  <c r="AD21" i="6"/>
  <c r="AB21" i="6"/>
  <c r="AA21" i="6"/>
  <c r="Z21" i="6"/>
  <c r="Y21" i="6"/>
  <c r="X21" i="6"/>
  <c r="W21" i="6"/>
  <c r="V21" i="6"/>
  <c r="U21" i="6"/>
  <c r="T21" i="6"/>
  <c r="S21" i="6"/>
  <c r="R21" i="6"/>
  <c r="Q21" i="6"/>
  <c r="P21" i="6"/>
  <c r="O21" i="6"/>
  <c r="N21" i="6"/>
  <c r="M21" i="6"/>
  <c r="L21" i="6"/>
  <c r="K21" i="6"/>
  <c r="J21" i="6"/>
  <c r="I21" i="6"/>
  <c r="H21" i="6"/>
  <c r="F20" i="6"/>
  <c r="F18" i="6"/>
  <c r="H15" i="6"/>
  <c r="I15" i="6" s="1"/>
  <c r="J15" i="6" s="1"/>
  <c r="K15" i="6" s="1"/>
  <c r="L15" i="6" s="1"/>
  <c r="M15" i="6" s="1"/>
  <c r="N15" i="6" s="1"/>
  <c r="O15" i="6" s="1"/>
  <c r="P15" i="6" s="1"/>
  <c r="Q15" i="6" s="1"/>
  <c r="R15" i="6" s="1"/>
  <c r="S15" i="6" s="1"/>
  <c r="T15" i="6" s="1"/>
  <c r="U15" i="6" s="1"/>
  <c r="V15" i="6" s="1"/>
  <c r="W15" i="6" s="1"/>
  <c r="X15" i="6" s="1"/>
  <c r="Y15" i="6" s="1"/>
  <c r="Z15" i="6" s="1"/>
  <c r="AA15" i="6" s="1"/>
  <c r="AB15" i="6" s="1"/>
  <c r="AC15" i="6" s="1"/>
  <c r="AD15" i="6" s="1"/>
  <c r="AE15" i="6" s="1"/>
  <c r="AF15" i="6" s="1"/>
  <c r="AG15" i="6" s="1"/>
  <c r="AH15" i="6" s="1"/>
  <c r="AI15" i="6" s="1"/>
  <c r="AJ15" i="6" s="1"/>
  <c r="H5" i="6"/>
  <c r="I5" i="6" s="1"/>
  <c r="M58" i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E58" i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N57" i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F57" i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21" i="6"/>
  <c r="H78" i="6"/>
  <c r="F29" i="6"/>
  <c r="I76" i="6"/>
  <c r="I79" i="6"/>
  <c r="I78" i="6"/>
  <c r="J76" i="6"/>
  <c r="J78" i="6" s="1"/>
  <c r="J79" i="6"/>
  <c r="D63" i="24" l="1"/>
  <c r="Q17" i="23"/>
  <c r="N20" i="23"/>
  <c r="M29" i="23"/>
  <c r="M87" i="23"/>
  <c r="D12" i="23"/>
  <c r="C12" i="23"/>
  <c r="E12" i="23"/>
  <c r="F12" i="23"/>
  <c r="G12" i="23"/>
  <c r="H12" i="23"/>
  <c r="I12" i="23"/>
  <c r="J12" i="23"/>
  <c r="K12" i="23"/>
  <c r="L12" i="23"/>
  <c r="M12" i="23"/>
  <c r="N12" i="23"/>
  <c r="O12" i="23"/>
  <c r="P12" i="23"/>
  <c r="Q12" i="23"/>
  <c r="R12" i="23"/>
  <c r="S12" i="23"/>
  <c r="T12" i="23"/>
  <c r="U12" i="23"/>
  <c r="V12" i="23"/>
  <c r="W12" i="23"/>
  <c r="X32" i="23"/>
  <c r="X36" i="23" s="1"/>
  <c r="Y7" i="25"/>
  <c r="X8" i="25"/>
  <c r="Y11" i="25"/>
  <c r="Z64" i="24"/>
  <c r="Y46" i="24"/>
  <c r="AA22" i="24"/>
  <c r="AA25" i="24" s="1"/>
  <c r="AA52" i="24"/>
  <c r="AA53" i="24" s="1"/>
  <c r="AB51" i="24"/>
  <c r="Z5" i="24"/>
  <c r="Z8" i="24" s="1"/>
  <c r="Y90" i="23"/>
  <c r="Y52" i="23"/>
  <c r="Y12" i="23"/>
  <c r="Y33" i="23"/>
  <c r="Y34" i="23"/>
  <c r="Z5" i="23"/>
  <c r="Y83" i="23"/>
  <c r="X15" i="23"/>
  <c r="Y7" i="23"/>
  <c r="X6" i="23"/>
  <c r="C20" i="21"/>
  <c r="C29" i="21" s="1"/>
  <c r="C44" i="1" s="1"/>
  <c r="E7" i="15"/>
  <c r="F7" i="15" s="1"/>
  <c r="G7" i="15" s="1"/>
  <c r="H7" i="15" s="1"/>
  <c r="I7" i="15" s="1"/>
  <c r="J7" i="15" s="1"/>
  <c r="K7" i="15" s="1"/>
  <c r="L7" i="15" s="1"/>
  <c r="M7" i="15" s="1"/>
  <c r="N7" i="15" s="1"/>
  <c r="O7" i="15" s="1"/>
  <c r="P7" i="15" s="1"/>
  <c r="Q7" i="15" s="1"/>
  <c r="R7" i="15" s="1"/>
  <c r="S7" i="15" s="1"/>
  <c r="T7" i="15" s="1"/>
  <c r="U7" i="15" s="1"/>
  <c r="V7" i="15" s="1"/>
  <c r="W7" i="15" s="1"/>
  <c r="X7" i="15" s="1"/>
  <c r="Y7" i="15" s="1"/>
  <c r="Z7" i="15" s="1"/>
  <c r="AA7" i="15" s="1"/>
  <c r="AB7" i="15" s="1"/>
  <c r="AC7" i="15" s="1"/>
  <c r="AD7" i="15" s="1"/>
  <c r="AE7" i="15" s="1"/>
  <c r="AF7" i="15" s="1"/>
  <c r="F26" i="11"/>
  <c r="C12" i="7"/>
  <c r="D12" i="7"/>
  <c r="AB40" i="6"/>
  <c r="K76" i="6"/>
  <c r="I77" i="6"/>
  <c r="E5" i="7"/>
  <c r="H27" i="6"/>
  <c r="H25" i="6" s="1"/>
  <c r="J58" i="1"/>
  <c r="I27" i="6"/>
  <c r="I25" i="6" s="1"/>
  <c r="I9" i="6" s="1"/>
  <c r="J59" i="1"/>
  <c r="K24" i="1"/>
  <c r="L24" i="1" s="1"/>
  <c r="J27" i="6"/>
  <c r="J25" i="6" s="1"/>
  <c r="J33" i="6" s="1"/>
  <c r="Z45" i="6" s="1"/>
  <c r="W33" i="6"/>
  <c r="AH33" i="6"/>
  <c r="V33" i="6"/>
  <c r="AC33" i="6"/>
  <c r="X33" i="6"/>
  <c r="Y33" i="6"/>
  <c r="K33" i="6"/>
  <c r="D32" i="7"/>
  <c r="D36" i="7" s="1"/>
  <c r="AE33" i="6"/>
  <c r="AF33" i="6"/>
  <c r="N33" i="6"/>
  <c r="AD33" i="6"/>
  <c r="U33" i="6"/>
  <c r="AJ33" i="6"/>
  <c r="R33" i="6"/>
  <c r="S33" i="6"/>
  <c r="Q33" i="6"/>
  <c r="C32" i="7"/>
  <c r="C36" i="7" s="1"/>
  <c r="AA33" i="6"/>
  <c r="M33" i="6"/>
  <c r="D83" i="7"/>
  <c r="AI33" i="6"/>
  <c r="L33" i="6"/>
  <c r="Z33" i="6"/>
  <c r="F19" i="6"/>
  <c r="F17" i="6" s="1"/>
  <c r="P33" i="6"/>
  <c r="AG89" i="7"/>
  <c r="AF89" i="7"/>
  <c r="P6" i="5"/>
  <c r="N6" i="5"/>
  <c r="R6" i="5"/>
  <c r="M6" i="5"/>
  <c r="Q6" i="5"/>
  <c r="H17" i="6"/>
  <c r="J5" i="6"/>
  <c r="AB33" i="6"/>
  <c r="O6" i="5"/>
  <c r="O33" i="6"/>
  <c r="AG33" i="6"/>
  <c r="T33" i="6"/>
  <c r="G9" i="6"/>
  <c r="C63" i="8"/>
  <c r="D90" i="7"/>
  <c r="D52" i="7"/>
  <c r="G33" i="6"/>
  <c r="AA42" i="6" s="1"/>
  <c r="H77" i="6"/>
  <c r="J77" i="6"/>
  <c r="C29" i="7"/>
  <c r="P54" i="1"/>
  <c r="Y32" i="23" l="1"/>
  <c r="Y36" i="23" s="1"/>
  <c r="E63" i="24"/>
  <c r="O20" i="23"/>
  <c r="N29" i="23"/>
  <c r="N87" i="23"/>
  <c r="R17" i="23"/>
  <c r="P6" i="23"/>
  <c r="P15" i="23"/>
  <c r="L6" i="23"/>
  <c r="L15" i="23"/>
  <c r="O15" i="23"/>
  <c r="O6" i="23"/>
  <c r="K6" i="23"/>
  <c r="K15" i="23"/>
  <c r="J6" i="23"/>
  <c r="J15" i="23"/>
  <c r="V6" i="23"/>
  <c r="V15" i="23"/>
  <c r="H6" i="23"/>
  <c r="H15" i="23"/>
  <c r="U15" i="23"/>
  <c r="U6" i="23"/>
  <c r="G15" i="23"/>
  <c r="G6" i="23"/>
  <c r="F15" i="23"/>
  <c r="F6" i="23"/>
  <c r="N6" i="23"/>
  <c r="N15" i="23"/>
  <c r="M6" i="23"/>
  <c r="M15" i="23"/>
  <c r="I6" i="23"/>
  <c r="I15" i="23"/>
  <c r="T6" i="23"/>
  <c r="T15" i="23"/>
  <c r="S15" i="23"/>
  <c r="S6" i="23"/>
  <c r="W6" i="23"/>
  <c r="W15" i="23"/>
  <c r="E6" i="23"/>
  <c r="E15" i="23"/>
  <c r="R15" i="23"/>
  <c r="R6" i="23"/>
  <c r="C15" i="23"/>
  <c r="C6" i="23"/>
  <c r="Q15" i="23"/>
  <c r="Q6" i="23"/>
  <c r="D15" i="23"/>
  <c r="D6" i="23"/>
  <c r="Y15" i="23"/>
  <c r="Y8" i="25"/>
  <c r="Z7" i="25"/>
  <c r="AB52" i="24"/>
  <c r="AB53" i="24" s="1"/>
  <c r="AC51" i="24"/>
  <c r="AB22" i="24"/>
  <c r="AB25" i="24" s="1"/>
  <c r="Z46" i="24"/>
  <c r="AA64" i="24"/>
  <c r="Z69" i="24"/>
  <c r="AA5" i="24"/>
  <c r="AA8" i="24" s="1"/>
  <c r="Z52" i="23"/>
  <c r="Z83" i="23"/>
  <c r="Z87" i="23"/>
  <c r="Z38" i="23"/>
  <c r="Z48" i="23"/>
  <c r="Z90" i="23"/>
  <c r="Z44" i="23"/>
  <c r="Z8" i="23"/>
  <c r="Z85" i="23"/>
  <c r="Z7" i="23"/>
  <c r="Z45" i="23"/>
  <c r="Z17" i="23"/>
  <c r="Z16" i="23"/>
  <c r="Z31" i="23"/>
  <c r="Z33" i="23"/>
  <c r="Z28" i="23"/>
  <c r="AA5" i="23"/>
  <c r="Z34" i="23"/>
  <c r="Z41" i="23"/>
  <c r="Z46" i="23"/>
  <c r="Z12" i="23"/>
  <c r="Z6" i="23"/>
  <c r="X85" i="23"/>
  <c r="Y6" i="23"/>
  <c r="G7" i="6"/>
  <c r="C9" i="8" s="1"/>
  <c r="I7" i="6"/>
  <c r="C26" i="11"/>
  <c r="O38" i="2"/>
  <c r="C14" i="8"/>
  <c r="F5" i="7"/>
  <c r="G5" i="7" s="1"/>
  <c r="E87" i="7"/>
  <c r="E12" i="7"/>
  <c r="E83" i="7"/>
  <c r="H33" i="6"/>
  <c r="AA43" i="6" s="1"/>
  <c r="C26" i="8"/>
  <c r="I33" i="6"/>
  <c r="AA44" i="6" s="1"/>
  <c r="AA45" i="6"/>
  <c r="E90" i="7"/>
  <c r="L76" i="6"/>
  <c r="K78" i="6"/>
  <c r="K79" i="6"/>
  <c r="AB42" i="6"/>
  <c r="AB45" i="6"/>
  <c r="AC40" i="6"/>
  <c r="E33" i="7"/>
  <c r="E52" i="7"/>
  <c r="C87" i="7"/>
  <c r="D29" i="7"/>
  <c r="F27" i="6"/>
  <c r="F25" i="6" s="1"/>
  <c r="F33" i="6" s="1"/>
  <c r="M24" i="1"/>
  <c r="M45" i="6"/>
  <c r="W45" i="6"/>
  <c r="U45" i="6"/>
  <c r="Y45" i="6"/>
  <c r="V45" i="6"/>
  <c r="K45" i="6"/>
  <c r="L45" i="6"/>
  <c r="R45" i="6"/>
  <c r="Q52" i="1"/>
  <c r="AI21" i="2"/>
  <c r="F18" i="11"/>
  <c r="F27" i="11"/>
  <c r="AI17" i="2"/>
  <c r="F31" i="11"/>
  <c r="AI32" i="2"/>
  <c r="J55" i="1"/>
  <c r="K54" i="1" s="1"/>
  <c r="J45" i="6"/>
  <c r="O45" i="6"/>
  <c r="X45" i="6"/>
  <c r="Q45" i="6"/>
  <c r="P45" i="6"/>
  <c r="N45" i="6"/>
  <c r="T45" i="6"/>
  <c r="Q53" i="1"/>
  <c r="D11" i="15" s="1"/>
  <c r="F11" i="15" s="1"/>
  <c r="G11" i="15" s="1"/>
  <c r="H11" i="15" s="1"/>
  <c r="I11" i="15" s="1"/>
  <c r="J11" i="15" s="1"/>
  <c r="K11" i="15" s="1"/>
  <c r="L11" i="15" s="1"/>
  <c r="M11" i="15" s="1"/>
  <c r="N11" i="15" s="1"/>
  <c r="O11" i="15" s="1"/>
  <c r="P11" i="15" s="1"/>
  <c r="Q11" i="15" s="1"/>
  <c r="R11" i="15" s="1"/>
  <c r="S11" i="15" s="1"/>
  <c r="T11" i="15" s="1"/>
  <c r="U11" i="15" s="1"/>
  <c r="V11" i="15" s="1"/>
  <c r="S45" i="6"/>
  <c r="E26" i="8"/>
  <c r="E9" i="8"/>
  <c r="D63" i="8"/>
  <c r="K5" i="6"/>
  <c r="J9" i="6"/>
  <c r="G42" i="6"/>
  <c r="L42" i="6"/>
  <c r="M42" i="6"/>
  <c r="N42" i="6"/>
  <c r="R42" i="6"/>
  <c r="AI20" i="2"/>
  <c r="P42" i="6"/>
  <c r="W42" i="6"/>
  <c r="Y42" i="6"/>
  <c r="Q42" i="6"/>
  <c r="U42" i="6"/>
  <c r="H42" i="6"/>
  <c r="Z42" i="6"/>
  <c r="T42" i="6"/>
  <c r="X42" i="6"/>
  <c r="S42" i="6"/>
  <c r="J42" i="6"/>
  <c r="I42" i="6"/>
  <c r="V42" i="6"/>
  <c r="K42" i="6"/>
  <c r="O42" i="6"/>
  <c r="T6" i="5"/>
  <c r="U6" i="5"/>
  <c r="V6" i="5"/>
  <c r="S6" i="5"/>
  <c r="W6" i="5"/>
  <c r="X6" i="5"/>
  <c r="H9" i="6"/>
  <c r="I11" i="1"/>
  <c r="F63" i="24" l="1"/>
  <c r="S17" i="23"/>
  <c r="P20" i="23"/>
  <c r="O29" i="23"/>
  <c r="O37" i="23" s="1"/>
  <c r="O87" i="23"/>
  <c r="M37" i="23"/>
  <c r="M85" i="23"/>
  <c r="M84" i="23" s="1"/>
  <c r="M30" i="23"/>
  <c r="M31" i="23" s="1"/>
  <c r="J37" i="23"/>
  <c r="J30" i="23"/>
  <c r="J31" i="23" s="1"/>
  <c r="J85" i="23"/>
  <c r="J84" i="23" s="1"/>
  <c r="T85" i="23"/>
  <c r="R85" i="23"/>
  <c r="D30" i="23"/>
  <c r="D31" i="23" s="1"/>
  <c r="D37" i="23"/>
  <c r="D85" i="23"/>
  <c r="D84" i="23" s="1"/>
  <c r="Y85" i="23"/>
  <c r="E30" i="23"/>
  <c r="E31" i="23" s="1"/>
  <c r="E37" i="23"/>
  <c r="E85" i="23"/>
  <c r="E84" i="23" s="1"/>
  <c r="C85" i="23"/>
  <c r="C84" i="23" s="1"/>
  <c r="C30" i="23"/>
  <c r="C31" i="23" s="1"/>
  <c r="C37" i="23"/>
  <c r="I37" i="23"/>
  <c r="I85" i="23"/>
  <c r="I84" i="23" s="1"/>
  <c r="I30" i="23"/>
  <c r="I31" i="23" s="1"/>
  <c r="N37" i="23"/>
  <c r="N30" i="23"/>
  <c r="N31" i="23" s="1"/>
  <c r="N85" i="23"/>
  <c r="N84" i="23" s="1"/>
  <c r="O85" i="23"/>
  <c r="H30" i="23"/>
  <c r="H31" i="23" s="1"/>
  <c r="H85" i="23"/>
  <c r="H84" i="23" s="1"/>
  <c r="H37" i="23"/>
  <c r="W85" i="23"/>
  <c r="V85" i="23"/>
  <c r="Q85" i="23"/>
  <c r="K30" i="23"/>
  <c r="K31" i="23" s="1"/>
  <c r="K37" i="23"/>
  <c r="K85" i="23"/>
  <c r="K84" i="23" s="1"/>
  <c r="F30" i="23"/>
  <c r="F31" i="23" s="1"/>
  <c r="F85" i="23"/>
  <c r="F84" i="23" s="1"/>
  <c r="F37" i="23"/>
  <c r="L30" i="23"/>
  <c r="L31" i="23" s="1"/>
  <c r="L37" i="23"/>
  <c r="L85" i="23"/>
  <c r="L84" i="23" s="1"/>
  <c r="G85" i="23"/>
  <c r="G84" i="23" s="1"/>
  <c r="G37" i="23"/>
  <c r="G30" i="23"/>
  <c r="G31" i="23" s="1"/>
  <c r="P85" i="23"/>
  <c r="S85" i="23"/>
  <c r="U85" i="23"/>
  <c r="Z15" i="23"/>
  <c r="Z84" i="23"/>
  <c r="Z9" i="25" s="1"/>
  <c r="Z32" i="23"/>
  <c r="Z36" i="23" s="1"/>
  <c r="Z13" i="25"/>
  <c r="Z15" i="25"/>
  <c r="Z12" i="25"/>
  <c r="Z8" i="25"/>
  <c r="AA7" i="25"/>
  <c r="AB64" i="24"/>
  <c r="AA69" i="24"/>
  <c r="AB5" i="24"/>
  <c r="AB8" i="24" s="1"/>
  <c r="AC22" i="24"/>
  <c r="AC25" i="24" s="1"/>
  <c r="AA46" i="24"/>
  <c r="AC52" i="24"/>
  <c r="AC53" i="24" s="1"/>
  <c r="AD51" i="24"/>
  <c r="Z29" i="23"/>
  <c r="AA87" i="23"/>
  <c r="AA45" i="23"/>
  <c r="AA38" i="23"/>
  <c r="AA85" i="23"/>
  <c r="AA44" i="23"/>
  <c r="AA48" i="23"/>
  <c r="AA91" i="23"/>
  <c r="AA90" i="23"/>
  <c r="AA34" i="23"/>
  <c r="AA12" i="23"/>
  <c r="AA8" i="23"/>
  <c r="AA7" i="23"/>
  <c r="AA17" i="23"/>
  <c r="AA16" i="23"/>
  <c r="AA33" i="23"/>
  <c r="AA28" i="23"/>
  <c r="AA41" i="23"/>
  <c r="AB5" i="23"/>
  <c r="AA83" i="23"/>
  <c r="AA6" i="23"/>
  <c r="AA31" i="23"/>
  <c r="AA46" i="23"/>
  <c r="AA52" i="23"/>
  <c r="D87" i="7"/>
  <c r="J7" i="6"/>
  <c r="F33" i="7"/>
  <c r="F32" i="7" s="1"/>
  <c r="F36" i="7" s="1"/>
  <c r="F52" i="7"/>
  <c r="F83" i="7"/>
  <c r="F90" i="7"/>
  <c r="S43" i="6"/>
  <c r="P43" i="6"/>
  <c r="AB43" i="6"/>
  <c r="W11" i="15"/>
  <c r="G12" i="7"/>
  <c r="F12" i="7"/>
  <c r="F87" i="7"/>
  <c r="K43" i="6"/>
  <c r="M43" i="6"/>
  <c r="L43" i="6"/>
  <c r="W43" i="6"/>
  <c r="U43" i="6"/>
  <c r="O43" i="6"/>
  <c r="H43" i="6"/>
  <c r="H41" i="6" s="1"/>
  <c r="Q43" i="6"/>
  <c r="V43" i="6"/>
  <c r="Z43" i="6"/>
  <c r="N44" i="6"/>
  <c r="Y44" i="6"/>
  <c r="N43" i="6"/>
  <c r="I43" i="6"/>
  <c r="T43" i="6"/>
  <c r="J43" i="6"/>
  <c r="X44" i="6"/>
  <c r="W44" i="6"/>
  <c r="Z44" i="6"/>
  <c r="K44" i="6"/>
  <c r="R43" i="6"/>
  <c r="X43" i="6"/>
  <c r="M44" i="6"/>
  <c r="J44" i="6"/>
  <c r="U44" i="6"/>
  <c r="S44" i="6"/>
  <c r="O44" i="6"/>
  <c r="L44" i="6"/>
  <c r="P44" i="6"/>
  <c r="AB44" i="6"/>
  <c r="T44" i="6"/>
  <c r="I44" i="6"/>
  <c r="V44" i="6"/>
  <c r="R44" i="6"/>
  <c r="O80" i="1"/>
  <c r="O78" i="1"/>
  <c r="O79" i="1"/>
  <c r="O84" i="1"/>
  <c r="O81" i="1"/>
  <c r="O83" i="1"/>
  <c r="O86" i="1"/>
  <c r="O82" i="1"/>
  <c r="O77" i="1"/>
  <c r="O85" i="1"/>
  <c r="Y43" i="6"/>
  <c r="Q44" i="6"/>
  <c r="AA41" i="6"/>
  <c r="E32" i="7"/>
  <c r="E36" i="7" s="1"/>
  <c r="E29" i="7"/>
  <c r="AD40" i="6"/>
  <c r="AC44" i="6"/>
  <c r="AC42" i="6"/>
  <c r="AC45" i="6"/>
  <c r="AC43" i="6"/>
  <c r="K77" i="6"/>
  <c r="L78" i="6"/>
  <c r="L79" i="6"/>
  <c r="M76" i="6"/>
  <c r="K25" i="1"/>
  <c r="O60" i="1"/>
  <c r="O63" i="1"/>
  <c r="O59" i="1"/>
  <c r="O68" i="1"/>
  <c r="O61" i="1"/>
  <c r="O69" i="1"/>
  <c r="O57" i="1"/>
  <c r="O70" i="1"/>
  <c r="O66" i="1"/>
  <c r="O74" i="1"/>
  <c r="O67" i="1"/>
  <c r="O75" i="1"/>
  <c r="O58" i="1"/>
  <c r="Q54" i="1"/>
  <c r="C28" i="8"/>
  <c r="O64" i="1"/>
  <c r="O65" i="1"/>
  <c r="O62" i="1"/>
  <c r="O76" i="1"/>
  <c r="O73" i="1"/>
  <c r="O71" i="1"/>
  <c r="O72" i="1"/>
  <c r="G52" i="7"/>
  <c r="H5" i="7"/>
  <c r="G83" i="7"/>
  <c r="G90" i="7"/>
  <c r="G33" i="7"/>
  <c r="H7" i="6"/>
  <c r="Z6" i="5"/>
  <c r="AA6" i="5"/>
  <c r="AB6" i="5"/>
  <c r="Y6" i="5"/>
  <c r="AC6" i="5"/>
  <c r="AD6" i="5"/>
  <c r="F9" i="8"/>
  <c r="F26" i="8"/>
  <c r="L5" i="6"/>
  <c r="K9" i="6"/>
  <c r="E63" i="8"/>
  <c r="G41" i="6"/>
  <c r="U67" i="24" l="1"/>
  <c r="U29" i="24"/>
  <c r="I67" i="24"/>
  <c r="I29" i="24"/>
  <c r="X67" i="24"/>
  <c r="X29" i="24"/>
  <c r="F67" i="24"/>
  <c r="F29" i="24"/>
  <c r="D29" i="24"/>
  <c r="D67" i="24"/>
  <c r="M67" i="24"/>
  <c r="M29" i="24"/>
  <c r="T67" i="24"/>
  <c r="T29" i="24"/>
  <c r="AE67" i="24"/>
  <c r="AE29" i="24"/>
  <c r="L29" i="24"/>
  <c r="L67" i="24"/>
  <c r="R29" i="24"/>
  <c r="R67" i="24"/>
  <c r="P29" i="24"/>
  <c r="P67" i="24"/>
  <c r="AB29" i="24"/>
  <c r="AB67" i="24"/>
  <c r="J67" i="24"/>
  <c r="J29" i="24"/>
  <c r="Z29" i="24"/>
  <c r="Z67" i="24"/>
  <c r="W67" i="24"/>
  <c r="W29" i="24"/>
  <c r="Q67" i="24"/>
  <c r="Q29" i="24"/>
  <c r="C29" i="24"/>
  <c r="C67" i="24"/>
  <c r="AF67" i="24"/>
  <c r="AF29" i="24"/>
  <c r="AC29" i="24"/>
  <c r="AC67" i="24"/>
  <c r="G29" i="24"/>
  <c r="G67" i="24"/>
  <c r="AA29" i="24"/>
  <c r="AA67" i="24"/>
  <c r="S67" i="24"/>
  <c r="S29" i="24"/>
  <c r="N29" i="24"/>
  <c r="N67" i="24"/>
  <c r="AD29" i="24"/>
  <c r="AD67" i="24"/>
  <c r="O29" i="24"/>
  <c r="O67" i="24"/>
  <c r="V67" i="24"/>
  <c r="V29" i="24"/>
  <c r="H67" i="24"/>
  <c r="H29" i="24"/>
  <c r="K67" i="24"/>
  <c r="K29" i="24"/>
  <c r="E29" i="24"/>
  <c r="E67" i="24"/>
  <c r="Y29" i="24"/>
  <c r="Y67" i="24"/>
  <c r="G63" i="24"/>
  <c r="O30" i="23"/>
  <c r="O31" i="23" s="1"/>
  <c r="Q20" i="23"/>
  <c r="P29" i="23"/>
  <c r="P87" i="23"/>
  <c r="P84" i="23" s="1"/>
  <c r="O84" i="23"/>
  <c r="O9" i="25" s="1"/>
  <c r="O10" i="25" s="1"/>
  <c r="T17" i="23"/>
  <c r="Z10" i="25"/>
  <c r="G38" i="23"/>
  <c r="G40" i="23"/>
  <c r="G55" i="23"/>
  <c r="G91" i="23"/>
  <c r="G9" i="25"/>
  <c r="G10" i="25" s="1"/>
  <c r="N55" i="23"/>
  <c r="N38" i="23"/>
  <c r="N40" i="23"/>
  <c r="L91" i="23"/>
  <c r="L9" i="25"/>
  <c r="L10" i="25" s="1"/>
  <c r="I91" i="23"/>
  <c r="I9" i="25"/>
  <c r="I10" i="25" s="1"/>
  <c r="L55" i="23"/>
  <c r="L40" i="23"/>
  <c r="L38" i="23"/>
  <c r="I40" i="23"/>
  <c r="I55" i="23"/>
  <c r="I38" i="23"/>
  <c r="C55" i="23"/>
  <c r="C40" i="23"/>
  <c r="C38" i="23"/>
  <c r="N9" i="25"/>
  <c r="N10" i="25" s="1"/>
  <c r="N91" i="23"/>
  <c r="F9" i="25"/>
  <c r="F10" i="25" s="1"/>
  <c r="F91" i="23"/>
  <c r="H55" i="23"/>
  <c r="H40" i="23"/>
  <c r="H38" i="23"/>
  <c r="C91" i="23"/>
  <c r="C9" i="25"/>
  <c r="C10" i="25" s="1"/>
  <c r="J91" i="23"/>
  <c r="J9" i="25"/>
  <c r="J10" i="25" s="1"/>
  <c r="H91" i="23"/>
  <c r="H9" i="25"/>
  <c r="H10" i="25" s="1"/>
  <c r="E9" i="25"/>
  <c r="E10" i="25" s="1"/>
  <c r="E91" i="23"/>
  <c r="D38" i="23"/>
  <c r="D40" i="23"/>
  <c r="D55" i="23"/>
  <c r="F40" i="23"/>
  <c r="F55" i="23"/>
  <c r="F38" i="23"/>
  <c r="E55" i="23"/>
  <c r="E38" i="23"/>
  <c r="E40" i="23"/>
  <c r="M91" i="23"/>
  <c r="M9" i="25"/>
  <c r="M10" i="25" s="1"/>
  <c r="K91" i="23"/>
  <c r="K9" i="25"/>
  <c r="K10" i="25" s="1"/>
  <c r="J40" i="23"/>
  <c r="J55" i="23"/>
  <c r="J38" i="23"/>
  <c r="K55" i="23"/>
  <c r="K40" i="23"/>
  <c r="K38" i="23"/>
  <c r="O40" i="23"/>
  <c r="O55" i="23"/>
  <c r="O38" i="23"/>
  <c r="D9" i="25"/>
  <c r="D10" i="25" s="1"/>
  <c r="D91" i="23"/>
  <c r="M55" i="23"/>
  <c r="M40" i="23"/>
  <c r="M38" i="23"/>
  <c r="Z37" i="23"/>
  <c r="Z55" i="23" s="1"/>
  <c r="AA15" i="23"/>
  <c r="AA27" i="24"/>
  <c r="AA10" i="24"/>
  <c r="AA13" i="25"/>
  <c r="AA15" i="25"/>
  <c r="AA12" i="25"/>
  <c r="AA8" i="25"/>
  <c r="AB7" i="25"/>
  <c r="AA47" i="24"/>
  <c r="AA48" i="24" s="1"/>
  <c r="AB46" i="24"/>
  <c r="AD52" i="24"/>
  <c r="AD53" i="24" s="1"/>
  <c r="AE51" i="24"/>
  <c r="AD22" i="24"/>
  <c r="AD25" i="24" s="1"/>
  <c r="AC5" i="24"/>
  <c r="AC8" i="24" s="1"/>
  <c r="AC64" i="24"/>
  <c r="AB69" i="24"/>
  <c r="AA29" i="23"/>
  <c r="AA32" i="23"/>
  <c r="AA36" i="23" s="1"/>
  <c r="Z30" i="23"/>
  <c r="AB91" i="23"/>
  <c r="AB48" i="23"/>
  <c r="AB90" i="23"/>
  <c r="AB44" i="23"/>
  <c r="AB87" i="23"/>
  <c r="AB41" i="23"/>
  <c r="AB31" i="23"/>
  <c r="AB8" i="23"/>
  <c r="AB7" i="23"/>
  <c r="AB6" i="23"/>
  <c r="AB85" i="23"/>
  <c r="AB33" i="23"/>
  <c r="AB45" i="23"/>
  <c r="AB34" i="23"/>
  <c r="AB32" i="23" s="1"/>
  <c r="AB36" i="23" s="1"/>
  <c r="AB17" i="23"/>
  <c r="AC5" i="23"/>
  <c r="AB16" i="23"/>
  <c r="AB12" i="23"/>
  <c r="AB38" i="23"/>
  <c r="AB83" i="23"/>
  <c r="AB28" i="23"/>
  <c r="AB46" i="23"/>
  <c r="AB52" i="23"/>
  <c r="AA84" i="23"/>
  <c r="AA9" i="25" s="1"/>
  <c r="D39" i="7"/>
  <c r="AB41" i="6"/>
  <c r="W39" i="7"/>
  <c r="K7" i="6"/>
  <c r="P41" i="6"/>
  <c r="K41" i="6"/>
  <c r="S41" i="6"/>
  <c r="W41" i="6"/>
  <c r="F29" i="7"/>
  <c r="L41" i="6"/>
  <c r="U41" i="6"/>
  <c r="M41" i="6"/>
  <c r="O41" i="6"/>
  <c r="X11" i="15"/>
  <c r="H12" i="7"/>
  <c r="V41" i="6"/>
  <c r="Q41" i="6"/>
  <c r="Z41" i="6"/>
  <c r="T41" i="6"/>
  <c r="N41" i="6"/>
  <c r="J41" i="6"/>
  <c r="Y41" i="6"/>
  <c r="I41" i="6"/>
  <c r="X41" i="6"/>
  <c r="R41" i="6"/>
  <c r="AE67" i="8"/>
  <c r="AE29" i="8"/>
  <c r="W29" i="8"/>
  <c r="W67" i="8"/>
  <c r="AB67" i="8"/>
  <c r="AB29" i="8"/>
  <c r="AF29" i="8"/>
  <c r="AF67" i="8"/>
  <c r="AC29" i="8"/>
  <c r="AC67" i="8"/>
  <c r="W24" i="8"/>
  <c r="W7" i="8"/>
  <c r="AA67" i="8"/>
  <c r="AA29" i="8"/>
  <c r="AD67" i="8"/>
  <c r="AD29" i="8"/>
  <c r="Y67" i="8"/>
  <c r="Y29" i="8"/>
  <c r="X29" i="8"/>
  <c r="X67" i="8"/>
  <c r="Z67" i="8"/>
  <c r="Z29" i="8"/>
  <c r="L77" i="6"/>
  <c r="M79" i="6"/>
  <c r="M78" i="6"/>
  <c r="N76" i="6"/>
  <c r="AC41" i="6"/>
  <c r="AD45" i="6"/>
  <c r="AD42" i="6"/>
  <c r="AD43" i="6"/>
  <c r="AD44" i="6"/>
  <c r="AE40" i="6"/>
  <c r="P29" i="8"/>
  <c r="P67" i="8"/>
  <c r="C29" i="8"/>
  <c r="Q57" i="1"/>
  <c r="C42" i="23" s="1"/>
  <c r="C56" i="23" s="1"/>
  <c r="C67" i="8"/>
  <c r="R29" i="8"/>
  <c r="R67" i="8"/>
  <c r="O67" i="8"/>
  <c r="O29" i="8"/>
  <c r="Q29" i="8"/>
  <c r="Q67" i="8"/>
  <c r="G29" i="8"/>
  <c r="G67" i="8"/>
  <c r="S67" i="8"/>
  <c r="S29" i="8"/>
  <c r="N67" i="8"/>
  <c r="N29" i="8"/>
  <c r="V29" i="8"/>
  <c r="V67" i="8"/>
  <c r="E29" i="8"/>
  <c r="E67" i="8"/>
  <c r="H29" i="8"/>
  <c r="H67" i="8"/>
  <c r="I67" i="8"/>
  <c r="I29" i="8"/>
  <c r="K67" i="8"/>
  <c r="K29" i="8"/>
  <c r="F67" i="8"/>
  <c r="F29" i="8"/>
  <c r="J29" i="8"/>
  <c r="J67" i="8"/>
  <c r="L25" i="1"/>
  <c r="M25" i="1"/>
  <c r="D29" i="8"/>
  <c r="D67" i="8"/>
  <c r="U29" i="8"/>
  <c r="U67" i="8"/>
  <c r="M67" i="8"/>
  <c r="M29" i="8"/>
  <c r="T29" i="8"/>
  <c r="T67" i="8"/>
  <c r="G32" i="7"/>
  <c r="G36" i="7" s="1"/>
  <c r="L67" i="8"/>
  <c r="L29" i="8"/>
  <c r="G29" i="7"/>
  <c r="D9" i="8"/>
  <c r="D26" i="8"/>
  <c r="I5" i="7"/>
  <c r="H90" i="7"/>
  <c r="H83" i="7"/>
  <c r="H33" i="7"/>
  <c r="H52" i="7"/>
  <c r="F63" i="8"/>
  <c r="G26" i="8"/>
  <c r="G9" i="8"/>
  <c r="D7" i="8"/>
  <c r="D24" i="8"/>
  <c r="L9" i="6"/>
  <c r="M5" i="6"/>
  <c r="G87" i="7"/>
  <c r="C39" i="7"/>
  <c r="C8" i="15"/>
  <c r="D8" i="15"/>
  <c r="AJ6" i="5"/>
  <c r="AE6" i="5"/>
  <c r="AI6" i="5"/>
  <c r="AH6" i="5"/>
  <c r="AF6" i="5"/>
  <c r="AG6" i="5"/>
  <c r="O91" i="23" l="1"/>
  <c r="H63" i="24"/>
  <c r="P91" i="23"/>
  <c r="P9" i="25"/>
  <c r="P10" i="25" s="1"/>
  <c r="R20" i="23"/>
  <c r="Q29" i="23"/>
  <c r="Q87" i="23"/>
  <c r="Q84" i="23" s="1"/>
  <c r="P37" i="23"/>
  <c r="P30" i="23"/>
  <c r="P31" i="23" s="1"/>
  <c r="U17" i="23"/>
  <c r="P10" i="24"/>
  <c r="P27" i="24"/>
  <c r="L23" i="24"/>
  <c r="L6" i="24"/>
  <c r="L8" i="24" s="1"/>
  <c r="L76" i="23"/>
  <c r="L46" i="23" s="1"/>
  <c r="L41" i="23"/>
  <c r="I76" i="23"/>
  <c r="I46" i="23" s="1"/>
  <c r="I41" i="23"/>
  <c r="I6" i="24"/>
  <c r="I23" i="24"/>
  <c r="J10" i="24"/>
  <c r="J27" i="24"/>
  <c r="O6" i="24"/>
  <c r="O8" i="24" s="1"/>
  <c r="O76" i="23"/>
  <c r="O46" i="23" s="1"/>
  <c r="O41" i="23"/>
  <c r="O23" i="24"/>
  <c r="F76" i="23"/>
  <c r="F46" i="23" s="1"/>
  <c r="F41" i="23"/>
  <c r="F6" i="24"/>
  <c r="F23" i="24"/>
  <c r="H76" i="23"/>
  <c r="H46" i="23" s="1"/>
  <c r="H41" i="23"/>
  <c r="H23" i="24"/>
  <c r="H6" i="24"/>
  <c r="H8" i="24" s="1"/>
  <c r="N27" i="24"/>
  <c r="N10" i="24"/>
  <c r="C10" i="24"/>
  <c r="C27" i="24"/>
  <c r="D27" i="24"/>
  <c r="D10" i="24"/>
  <c r="K27" i="24"/>
  <c r="K10" i="24"/>
  <c r="E10" i="24"/>
  <c r="E27" i="24"/>
  <c r="L27" i="24"/>
  <c r="L10" i="24"/>
  <c r="I10" i="24"/>
  <c r="I27" i="24"/>
  <c r="N23" i="24"/>
  <c r="N6" i="24"/>
  <c r="N76" i="23"/>
  <c r="N46" i="23" s="1"/>
  <c r="N41" i="23"/>
  <c r="K23" i="24"/>
  <c r="K6" i="24"/>
  <c r="K76" i="23"/>
  <c r="K46" i="23" s="1"/>
  <c r="K41" i="23"/>
  <c r="AA10" i="25"/>
  <c r="C41" i="23"/>
  <c r="C6" i="24"/>
  <c r="C8" i="24" s="1"/>
  <c r="C23" i="24"/>
  <c r="C43" i="23"/>
  <c r="C76" i="23"/>
  <c r="C46" i="23" s="1"/>
  <c r="C58" i="23"/>
  <c r="C59" i="23"/>
  <c r="M76" i="23"/>
  <c r="M46" i="23" s="1"/>
  <c r="M41" i="23"/>
  <c r="M23" i="24"/>
  <c r="M6" i="24"/>
  <c r="J23" i="24"/>
  <c r="J6" i="24"/>
  <c r="J8" i="24" s="1"/>
  <c r="J76" i="23"/>
  <c r="J46" i="23" s="1"/>
  <c r="J41" i="23"/>
  <c r="G10" i="24"/>
  <c r="G27" i="24"/>
  <c r="D76" i="23"/>
  <c r="D46" i="23" s="1"/>
  <c r="D41" i="23"/>
  <c r="D6" i="24"/>
  <c r="D23" i="24"/>
  <c r="F27" i="24"/>
  <c r="F10" i="24"/>
  <c r="M10" i="24"/>
  <c r="M27" i="24"/>
  <c r="O27" i="24"/>
  <c r="O10" i="24"/>
  <c r="G76" i="23"/>
  <c r="G46" i="23" s="1"/>
  <c r="G23" i="24"/>
  <c r="G6" i="24"/>
  <c r="G41" i="23"/>
  <c r="E6" i="24"/>
  <c r="E8" i="24" s="1"/>
  <c r="E41" i="23"/>
  <c r="E23" i="24"/>
  <c r="E76" i="23"/>
  <c r="E46" i="23" s="1"/>
  <c r="H10" i="24"/>
  <c r="H27" i="24"/>
  <c r="AB27" i="24"/>
  <c r="AB10" i="24"/>
  <c r="AA37" i="23"/>
  <c r="AA40" i="23" s="1"/>
  <c r="AA30" i="23"/>
  <c r="Z40" i="23"/>
  <c r="AB15" i="25"/>
  <c r="AB13" i="25"/>
  <c r="AB12" i="25"/>
  <c r="AB8" i="25"/>
  <c r="AC7" i="25"/>
  <c r="AB47" i="24"/>
  <c r="AB48" i="24" s="1"/>
  <c r="AC46" i="24"/>
  <c r="AD5" i="24"/>
  <c r="AD8" i="24" s="1"/>
  <c r="AE22" i="24"/>
  <c r="AE25" i="24" s="1"/>
  <c r="AF51" i="24"/>
  <c r="AE52" i="24"/>
  <c r="AE53" i="24" s="1"/>
  <c r="AC69" i="24"/>
  <c r="AD64" i="24"/>
  <c r="AC85" i="23"/>
  <c r="AC44" i="23"/>
  <c r="AC52" i="23"/>
  <c r="AC83" i="23"/>
  <c r="AC87" i="23"/>
  <c r="AC38" i="23"/>
  <c r="AC91" i="23"/>
  <c r="AC8" i="23"/>
  <c r="AC7" i="23"/>
  <c r="AC48" i="23"/>
  <c r="AC33" i="23"/>
  <c r="AC6" i="23"/>
  <c r="AC41" i="23"/>
  <c r="AC46" i="23"/>
  <c r="AC90" i="23"/>
  <c r="AC34" i="23"/>
  <c r="AC28" i="23"/>
  <c r="AC17" i="23"/>
  <c r="AD5" i="23"/>
  <c r="AC45" i="23"/>
  <c r="AC16" i="23"/>
  <c r="AC12" i="23"/>
  <c r="AC31" i="23"/>
  <c r="AB29" i="23"/>
  <c r="AB84" i="23"/>
  <c r="AB9" i="25" s="1"/>
  <c r="AB15" i="23"/>
  <c r="G39" i="7"/>
  <c r="U39" i="7"/>
  <c r="U7" i="8" s="1"/>
  <c r="S39" i="7"/>
  <c r="S24" i="8" s="1"/>
  <c r="L39" i="7"/>
  <c r="F39" i="7"/>
  <c r="F7" i="8" s="1"/>
  <c r="V39" i="7"/>
  <c r="V24" i="8" s="1"/>
  <c r="X39" i="7"/>
  <c r="K39" i="7"/>
  <c r="K7" i="8" s="1"/>
  <c r="Y39" i="7"/>
  <c r="Y24" i="8" s="1"/>
  <c r="I39" i="7"/>
  <c r="I7" i="8" s="1"/>
  <c r="P39" i="7"/>
  <c r="P24" i="8" s="1"/>
  <c r="R39" i="7"/>
  <c r="R24" i="8" s="1"/>
  <c r="N39" i="7"/>
  <c r="N7" i="8" s="1"/>
  <c r="Q39" i="7"/>
  <c r="Q7" i="8" s="1"/>
  <c r="O39" i="7"/>
  <c r="O7" i="8" s="1"/>
  <c r="M39" i="7"/>
  <c r="M7" i="8" s="1"/>
  <c r="T39" i="7"/>
  <c r="T7" i="8" s="1"/>
  <c r="H39" i="7"/>
  <c r="J39" i="7"/>
  <c r="J24" i="8" s="1"/>
  <c r="L7" i="6"/>
  <c r="H9" i="8" s="1"/>
  <c r="E39" i="7"/>
  <c r="E24" i="8" s="1"/>
  <c r="S7" i="8"/>
  <c r="O24" i="8"/>
  <c r="I24" i="8"/>
  <c r="M24" i="8"/>
  <c r="Y11" i="15"/>
  <c r="I12" i="7"/>
  <c r="H8" i="15"/>
  <c r="J8" i="15"/>
  <c r="E8" i="15"/>
  <c r="W8" i="15"/>
  <c r="X8" i="15"/>
  <c r="L8" i="15"/>
  <c r="M8" i="15"/>
  <c r="R8" i="15"/>
  <c r="N8" i="15"/>
  <c r="I8" i="15"/>
  <c r="U24" i="8"/>
  <c r="O8" i="15"/>
  <c r="P8" i="15"/>
  <c r="Q8" i="15"/>
  <c r="S8" i="15"/>
  <c r="K8" i="15"/>
  <c r="G8" i="15"/>
  <c r="F8" i="15"/>
  <c r="U8" i="15"/>
  <c r="T24" i="8"/>
  <c r="T8" i="15"/>
  <c r="V8" i="15"/>
  <c r="Y8" i="15"/>
  <c r="AF40" i="6"/>
  <c r="AE43" i="6"/>
  <c r="AE45" i="6"/>
  <c r="AE44" i="6"/>
  <c r="AE42" i="6"/>
  <c r="AD41" i="6"/>
  <c r="O76" i="6"/>
  <c r="N78" i="6"/>
  <c r="N79" i="6"/>
  <c r="M77" i="6"/>
  <c r="K26" i="1"/>
  <c r="C42" i="7"/>
  <c r="C56" i="7" s="1"/>
  <c r="P57" i="1"/>
  <c r="R57" i="1" s="1"/>
  <c r="H32" i="7"/>
  <c r="H36" i="7" s="1"/>
  <c r="H29" i="7"/>
  <c r="AN6" i="5"/>
  <c r="AP6" i="5"/>
  <c r="AK6" i="5"/>
  <c r="AO6" i="5"/>
  <c r="AL6" i="5"/>
  <c r="AM6" i="5"/>
  <c r="I52" i="7"/>
  <c r="I33" i="7"/>
  <c r="J5" i="7"/>
  <c r="I83" i="7"/>
  <c r="I90" i="7"/>
  <c r="G63" i="8"/>
  <c r="H87" i="7"/>
  <c r="C24" i="8"/>
  <c r="C7" i="8"/>
  <c r="M9" i="6"/>
  <c r="N5" i="6"/>
  <c r="AC32" i="23" l="1"/>
  <c r="AC36" i="23" s="1"/>
  <c r="Q58" i="1"/>
  <c r="D42" i="23" s="1"/>
  <c r="I63" i="24"/>
  <c r="V17" i="23"/>
  <c r="H11" i="24"/>
  <c r="H66" i="24" s="1"/>
  <c r="H69" i="24" s="1"/>
  <c r="P40" i="23"/>
  <c r="P55" i="23"/>
  <c r="P38" i="23"/>
  <c r="Q9" i="25"/>
  <c r="Q10" i="25" s="1"/>
  <c r="Q91" i="23"/>
  <c r="Q37" i="23"/>
  <c r="Q30" i="23"/>
  <c r="Q31" i="23" s="1"/>
  <c r="S20" i="23"/>
  <c r="R87" i="23"/>
  <c r="R84" i="23" s="1"/>
  <c r="R29" i="23"/>
  <c r="E11" i="24"/>
  <c r="E12" i="24" s="1"/>
  <c r="O11" i="24"/>
  <c r="J11" i="24"/>
  <c r="N8" i="24"/>
  <c r="N11" i="24" s="1"/>
  <c r="M8" i="24"/>
  <c r="M11" i="24" s="1"/>
  <c r="C11" i="24"/>
  <c r="K8" i="24"/>
  <c r="K11" i="24" s="1"/>
  <c r="F8" i="24"/>
  <c r="F11" i="24" s="1"/>
  <c r="L11" i="24"/>
  <c r="D8" i="24"/>
  <c r="D11" i="24" s="1"/>
  <c r="I8" i="24"/>
  <c r="I11" i="24" s="1"/>
  <c r="C44" i="23"/>
  <c r="G8" i="24"/>
  <c r="G11" i="24" s="1"/>
  <c r="Z76" i="23"/>
  <c r="C60" i="23"/>
  <c r="C62" i="23" s="1"/>
  <c r="C65" i="23" s="1"/>
  <c r="R7" i="8"/>
  <c r="Y7" i="8"/>
  <c r="P7" i="8"/>
  <c r="K24" i="8"/>
  <c r="F24" i="8"/>
  <c r="AA23" i="24"/>
  <c r="AA30" i="24" s="1"/>
  <c r="AA31" i="24" s="1"/>
  <c r="AA6" i="24"/>
  <c r="AA11" i="24" s="1"/>
  <c r="AC15" i="23"/>
  <c r="AC27" i="24"/>
  <c r="AC10" i="24"/>
  <c r="AB10" i="25"/>
  <c r="AA55" i="23"/>
  <c r="Z23" i="24"/>
  <c r="Z6" i="24"/>
  <c r="AC13" i="25"/>
  <c r="AC15" i="25"/>
  <c r="AC12" i="25"/>
  <c r="AC8" i="25"/>
  <c r="AD7" i="25"/>
  <c r="AE5" i="24"/>
  <c r="AE8" i="24" s="1"/>
  <c r="AG51" i="24"/>
  <c r="AF52" i="24"/>
  <c r="AF53" i="24" s="1"/>
  <c r="AF22" i="24"/>
  <c r="AF25" i="24" s="1"/>
  <c r="AC47" i="24"/>
  <c r="AC48" i="24" s="1"/>
  <c r="AD46" i="24"/>
  <c r="AD69" i="24"/>
  <c r="AE64" i="24"/>
  <c r="AB37" i="23"/>
  <c r="AB30" i="23"/>
  <c r="AD41" i="23"/>
  <c r="AD48" i="23"/>
  <c r="AD91" i="23"/>
  <c r="AD45" i="23"/>
  <c r="AD34" i="23"/>
  <c r="AD33" i="23"/>
  <c r="AD31" i="23"/>
  <c r="AD52" i="23"/>
  <c r="AD85" i="23"/>
  <c r="AD6" i="23"/>
  <c r="AD46" i="23"/>
  <c r="AE5" i="23"/>
  <c r="AD90" i="23"/>
  <c r="AD28" i="23"/>
  <c r="AD8" i="23"/>
  <c r="AD87" i="23"/>
  <c r="AD16" i="23"/>
  <c r="AD7" i="23"/>
  <c r="AD44" i="23"/>
  <c r="AD83" i="23"/>
  <c r="AD12" i="23"/>
  <c r="AD17" i="23"/>
  <c r="AD38" i="23"/>
  <c r="AC29" i="23"/>
  <c r="AA76" i="23"/>
  <c r="AC84" i="23"/>
  <c r="AC9" i="25" s="1"/>
  <c r="H26" i="8"/>
  <c r="H24" i="8"/>
  <c r="H7" i="8"/>
  <c r="L24" i="8"/>
  <c r="L7" i="8"/>
  <c r="Q24" i="8"/>
  <c r="J7" i="8"/>
  <c r="X24" i="8"/>
  <c r="X7" i="8"/>
  <c r="E7" i="8"/>
  <c r="V7" i="8"/>
  <c r="N24" i="8"/>
  <c r="M7" i="6"/>
  <c r="G24" i="8"/>
  <c r="G7" i="8"/>
  <c r="J12" i="7"/>
  <c r="Z39" i="7"/>
  <c r="Z24" i="8" s="1"/>
  <c r="Z8" i="15"/>
  <c r="AE41" i="6"/>
  <c r="N77" i="6"/>
  <c r="AF44" i="6"/>
  <c r="AF42" i="6"/>
  <c r="AF43" i="6"/>
  <c r="AF45" i="6"/>
  <c r="AG40" i="6"/>
  <c r="O78" i="6"/>
  <c r="O79" i="6"/>
  <c r="P76" i="6"/>
  <c r="D42" i="7"/>
  <c r="P58" i="1"/>
  <c r="R58" i="1" s="1"/>
  <c r="Q59" i="1" s="1"/>
  <c r="E42" i="23" s="1"/>
  <c r="M26" i="1"/>
  <c r="L26" i="1"/>
  <c r="I32" i="7"/>
  <c r="I36" i="7" s="1"/>
  <c r="I29" i="7"/>
  <c r="J90" i="7"/>
  <c r="J83" i="7"/>
  <c r="J52" i="7"/>
  <c r="J33" i="7"/>
  <c r="K5" i="7"/>
  <c r="H63" i="8"/>
  <c r="O5" i="6"/>
  <c r="N9" i="6"/>
  <c r="I9" i="8"/>
  <c r="I26" i="8"/>
  <c r="I87" i="7"/>
  <c r="E56" i="23" l="1"/>
  <c r="E43" i="23"/>
  <c r="E44" i="23" s="1"/>
  <c r="D56" i="23"/>
  <c r="D43" i="23"/>
  <c r="D44" i="23" s="1"/>
  <c r="H12" i="24"/>
  <c r="J63" i="24"/>
  <c r="E66" i="24"/>
  <c r="E69" i="24" s="1"/>
  <c r="R91" i="23"/>
  <c r="R9" i="25"/>
  <c r="R10" i="25" s="1"/>
  <c r="Q38" i="23"/>
  <c r="Q55" i="23"/>
  <c r="Q40" i="23"/>
  <c r="R30" i="23"/>
  <c r="R31" i="23" s="1"/>
  <c r="R37" i="23"/>
  <c r="P6" i="24"/>
  <c r="P8" i="24" s="1"/>
  <c r="P11" i="24" s="1"/>
  <c r="P52" i="24" s="1"/>
  <c r="P53" i="24" s="1"/>
  <c r="P41" i="23"/>
  <c r="P76" i="23"/>
  <c r="P46" i="23" s="1"/>
  <c r="P23" i="24"/>
  <c r="T20" i="23"/>
  <c r="S29" i="23"/>
  <c r="S87" i="23"/>
  <c r="S84" i="23" s="1"/>
  <c r="AC37" i="23"/>
  <c r="AC40" i="23" s="1"/>
  <c r="Q27" i="24"/>
  <c r="Q10" i="24"/>
  <c r="W17" i="23"/>
  <c r="AC30" i="23"/>
  <c r="D66" i="24"/>
  <c r="D69" i="24" s="1"/>
  <c r="D12" i="24"/>
  <c r="G12" i="24"/>
  <c r="G66" i="24"/>
  <c r="G69" i="24" s="1"/>
  <c r="C66" i="23"/>
  <c r="C73" i="23"/>
  <c r="C70" i="23"/>
  <c r="I66" i="24"/>
  <c r="I69" i="24" s="1"/>
  <c r="I12" i="24"/>
  <c r="C66" i="24"/>
  <c r="C69" i="24" s="1"/>
  <c r="C12" i="24"/>
  <c r="C52" i="24"/>
  <c r="C53" i="24" s="1"/>
  <c r="D52" i="24"/>
  <c r="D53" i="24" s="1"/>
  <c r="E52" i="24"/>
  <c r="E53" i="24" s="1"/>
  <c r="G52" i="24"/>
  <c r="G53" i="24" s="1"/>
  <c r="F52" i="24"/>
  <c r="F53" i="24" s="1"/>
  <c r="H52" i="24"/>
  <c r="H53" i="24" s="1"/>
  <c r="I52" i="24"/>
  <c r="I53" i="24" s="1"/>
  <c r="J52" i="24"/>
  <c r="J53" i="24" s="1"/>
  <c r="L52" i="24"/>
  <c r="L53" i="24" s="1"/>
  <c r="M52" i="24"/>
  <c r="M53" i="24" s="1"/>
  <c r="N52" i="24"/>
  <c r="N53" i="24" s="1"/>
  <c r="O52" i="24"/>
  <c r="O53" i="24" s="1"/>
  <c r="O12" i="24"/>
  <c r="O66" i="24"/>
  <c r="O69" i="24" s="1"/>
  <c r="M66" i="24"/>
  <c r="M69" i="24" s="1"/>
  <c r="M12" i="24"/>
  <c r="AC10" i="25"/>
  <c r="L12" i="24"/>
  <c r="L66" i="24"/>
  <c r="L69" i="24" s="1"/>
  <c r="K52" i="24"/>
  <c r="K53" i="24" s="1"/>
  <c r="K12" i="24"/>
  <c r="K66" i="24"/>
  <c r="K69" i="24" s="1"/>
  <c r="F66" i="24"/>
  <c r="F69" i="24" s="1"/>
  <c r="F12" i="24"/>
  <c r="C71" i="23"/>
  <c r="N12" i="24"/>
  <c r="N66" i="24"/>
  <c r="N69" i="24" s="1"/>
  <c r="J12" i="24"/>
  <c r="J66" i="24"/>
  <c r="J69" i="24" s="1"/>
  <c r="AD29" i="23"/>
  <c r="AD15" i="23"/>
  <c r="AD30" i="23" s="1"/>
  <c r="AD27" i="24"/>
  <c r="AD10" i="24"/>
  <c r="AA66" i="24"/>
  <c r="AA12" i="24"/>
  <c r="AD15" i="25"/>
  <c r="AD13" i="25"/>
  <c r="AE7" i="25"/>
  <c r="AD8" i="25"/>
  <c r="AD12" i="25"/>
  <c r="AE46" i="24"/>
  <c r="AD47" i="24"/>
  <c r="AD48" i="24" s="1"/>
  <c r="AG22" i="24"/>
  <c r="AG30" i="24" s="1"/>
  <c r="AG52" i="24"/>
  <c r="AG53" i="24" s="1"/>
  <c r="AE69" i="24"/>
  <c r="AF64" i="24"/>
  <c r="AF5" i="24"/>
  <c r="AF8" i="24" s="1"/>
  <c r="AD32" i="23"/>
  <c r="AD36" i="23" s="1"/>
  <c r="AE52" i="23"/>
  <c r="AE91" i="23"/>
  <c r="AE48" i="23"/>
  <c r="AE90" i="23"/>
  <c r="AE45" i="23"/>
  <c r="AE34" i="23"/>
  <c r="AE33" i="23"/>
  <c r="AE31" i="23"/>
  <c r="AE46" i="23"/>
  <c r="AE85" i="23"/>
  <c r="AE6" i="23"/>
  <c r="AE87" i="23"/>
  <c r="AE41" i="23"/>
  <c r="AF5" i="23"/>
  <c r="AE12" i="23"/>
  <c r="AE83" i="23"/>
  <c r="AE44" i="23"/>
  <c r="AE16" i="23"/>
  <c r="AE7" i="23"/>
  <c r="AE28" i="23"/>
  <c r="AE17" i="23"/>
  <c r="AE38" i="23"/>
  <c r="AE8" i="23"/>
  <c r="AD84" i="23"/>
  <c r="AD9" i="25" s="1"/>
  <c r="AB40" i="23"/>
  <c r="AB55" i="23"/>
  <c r="N7" i="6"/>
  <c r="AA8" i="15"/>
  <c r="K12" i="7"/>
  <c r="Z7" i="8"/>
  <c r="P78" i="6"/>
  <c r="P79" i="6"/>
  <c r="Q76" i="6"/>
  <c r="O77" i="6"/>
  <c r="AF41" i="6"/>
  <c r="AA39" i="7"/>
  <c r="AH40" i="6"/>
  <c r="AG43" i="6"/>
  <c r="AG45" i="6"/>
  <c r="AG42" i="6"/>
  <c r="AG44" i="6"/>
  <c r="K27" i="1"/>
  <c r="P59" i="1"/>
  <c r="R59" i="1" s="1"/>
  <c r="Q60" i="1" s="1"/>
  <c r="E42" i="7"/>
  <c r="D56" i="7"/>
  <c r="K52" i="7"/>
  <c r="K33" i="7"/>
  <c r="L5" i="7"/>
  <c r="K83" i="7"/>
  <c r="K90" i="7"/>
  <c r="J29" i="7"/>
  <c r="J87" i="7"/>
  <c r="J9" i="8"/>
  <c r="J26" i="8"/>
  <c r="P5" i="6"/>
  <c r="O9" i="6"/>
  <c r="J32" i="7"/>
  <c r="J36" i="7" s="1"/>
  <c r="I63" i="8"/>
  <c r="F42" i="7" l="1"/>
  <c r="F42" i="23"/>
  <c r="D58" i="23"/>
  <c r="D59" i="23"/>
  <c r="AC55" i="23"/>
  <c r="K63" i="24"/>
  <c r="E47" i="24"/>
  <c r="E48" i="24" s="1"/>
  <c r="X17" i="23"/>
  <c r="R55" i="23"/>
  <c r="R38" i="23"/>
  <c r="R40" i="23"/>
  <c r="U20" i="23"/>
  <c r="T87" i="23"/>
  <c r="T84" i="23" s="1"/>
  <c r="T29" i="23"/>
  <c r="P12" i="24"/>
  <c r="P66" i="24"/>
  <c r="P69" i="24" s="1"/>
  <c r="Q76" i="23"/>
  <c r="Q46" i="23" s="1"/>
  <c r="Q6" i="24"/>
  <c r="Q8" i="24" s="1"/>
  <c r="Q11" i="24" s="1"/>
  <c r="Q41" i="23"/>
  <c r="Q23" i="24"/>
  <c r="S91" i="23"/>
  <c r="S9" i="25"/>
  <c r="S10" i="25" s="1"/>
  <c r="H47" i="24"/>
  <c r="H48" i="24" s="1"/>
  <c r="S37" i="23"/>
  <c r="S30" i="23"/>
  <c r="S31" i="23" s="1"/>
  <c r="R27" i="24"/>
  <c r="R10" i="24"/>
  <c r="AD37" i="23"/>
  <c r="AD55" i="23" s="1"/>
  <c r="AD10" i="25"/>
  <c r="J47" i="24"/>
  <c r="J48" i="24" s="1"/>
  <c r="C75" i="23"/>
  <c r="C45" i="23" s="1"/>
  <c r="O47" i="24"/>
  <c r="O48" i="24" s="1"/>
  <c r="K47" i="24"/>
  <c r="K48" i="24" s="1"/>
  <c r="N47" i="24"/>
  <c r="N48" i="24" s="1"/>
  <c r="L47" i="24"/>
  <c r="L48" i="24" s="1"/>
  <c r="C47" i="24"/>
  <c r="C48" i="24" s="1"/>
  <c r="D47" i="24"/>
  <c r="D48" i="24" s="1"/>
  <c r="F47" i="24"/>
  <c r="F48" i="24" s="1"/>
  <c r="G47" i="24"/>
  <c r="G48" i="24" s="1"/>
  <c r="I47" i="24"/>
  <c r="I48" i="24" s="1"/>
  <c r="M47" i="24"/>
  <c r="M48" i="24" s="1"/>
  <c r="AE27" i="24"/>
  <c r="AE10" i="24"/>
  <c r="AB6" i="24"/>
  <c r="AB11" i="24" s="1"/>
  <c r="AB23" i="24"/>
  <c r="AB30" i="24" s="1"/>
  <c r="AB31" i="24" s="1"/>
  <c r="AC23" i="24"/>
  <c r="AC30" i="24" s="1"/>
  <c r="AC31" i="24" s="1"/>
  <c r="AC6" i="24"/>
  <c r="AC11" i="24" s="1"/>
  <c r="AE13" i="25"/>
  <c r="AE15" i="25"/>
  <c r="AF7" i="25"/>
  <c r="AE8" i="25"/>
  <c r="AE12" i="25"/>
  <c r="AG5" i="24"/>
  <c r="AG12" i="24" s="1"/>
  <c r="AG64" i="24"/>
  <c r="AF69" i="24"/>
  <c r="AG31" i="24"/>
  <c r="AE47" i="24"/>
  <c r="AE48" i="24" s="1"/>
  <c r="AF46" i="24"/>
  <c r="AE15" i="23"/>
  <c r="AE32" i="23"/>
  <c r="AE36" i="23" s="1"/>
  <c r="AE29" i="23"/>
  <c r="AB76" i="23"/>
  <c r="AF83" i="23"/>
  <c r="AF34" i="23"/>
  <c r="AF91" i="23"/>
  <c r="AF52" i="23"/>
  <c r="AF44" i="23"/>
  <c r="AF87" i="23"/>
  <c r="AF85" i="23"/>
  <c r="AF48" i="23"/>
  <c r="AF41" i="23"/>
  <c r="AF33" i="23"/>
  <c r="AG5" i="23"/>
  <c r="AF17" i="23"/>
  <c r="AF46" i="23"/>
  <c r="AF12" i="23"/>
  <c r="AF16" i="23"/>
  <c r="AF29" i="23" s="1"/>
  <c r="AF45" i="23"/>
  <c r="AF90" i="23"/>
  <c r="AF7" i="23"/>
  <c r="AF6" i="23"/>
  <c r="AF31" i="23"/>
  <c r="AF28" i="23"/>
  <c r="AF38" i="23"/>
  <c r="AF8" i="23"/>
  <c r="AE84" i="23"/>
  <c r="AE9" i="25" s="1"/>
  <c r="AC76" i="23"/>
  <c r="AB39" i="7"/>
  <c r="AB7" i="8" s="1"/>
  <c r="O7" i="6"/>
  <c r="L12" i="7"/>
  <c r="AB8" i="15"/>
  <c r="AH43" i="6"/>
  <c r="AH45" i="6"/>
  <c r="AH44" i="6"/>
  <c r="AH42" i="6"/>
  <c r="AI40" i="6"/>
  <c r="AA24" i="8"/>
  <c r="AA7" i="8"/>
  <c r="Q79" i="6"/>
  <c r="R76" i="6"/>
  <c r="Q78" i="6"/>
  <c r="AG41" i="6"/>
  <c r="P77" i="6"/>
  <c r="P60" i="1"/>
  <c r="R60" i="1" s="1"/>
  <c r="Q61" i="1" s="1"/>
  <c r="G42" i="23" s="1"/>
  <c r="K32" i="7"/>
  <c r="K36" i="7" s="1"/>
  <c r="K87" i="7"/>
  <c r="E56" i="7"/>
  <c r="L27" i="1"/>
  <c r="M27" i="1"/>
  <c r="K28" i="1"/>
  <c r="L83" i="7"/>
  <c r="L52" i="7"/>
  <c r="L33" i="7"/>
  <c r="M5" i="7"/>
  <c r="L90" i="7"/>
  <c r="K29" i="7"/>
  <c r="J63" i="8"/>
  <c r="K9" i="8"/>
  <c r="K26" i="8"/>
  <c r="P9" i="6"/>
  <c r="Q5" i="6"/>
  <c r="F56" i="7"/>
  <c r="E58" i="23" l="1"/>
  <c r="D61" i="23"/>
  <c r="E59" i="23"/>
  <c r="G56" i="23"/>
  <c r="G43" i="23"/>
  <c r="G44" i="23" s="1"/>
  <c r="D60" i="23"/>
  <c r="F56" i="23"/>
  <c r="F59" i="23" s="1"/>
  <c r="G58" i="23" s="1"/>
  <c r="F43" i="23"/>
  <c r="F44" i="23" s="1"/>
  <c r="L63" i="24"/>
  <c r="T37" i="23"/>
  <c r="T30" i="23"/>
  <c r="T31" i="23" s="1"/>
  <c r="V20" i="23"/>
  <c r="U29" i="23"/>
  <c r="U87" i="23"/>
  <c r="U84" i="23" s="1"/>
  <c r="S27" i="24"/>
  <c r="S10" i="24"/>
  <c r="AD40" i="23"/>
  <c r="AD6" i="24" s="1"/>
  <c r="AD11" i="24" s="1"/>
  <c r="Q66" i="24"/>
  <c r="Q69" i="24" s="1"/>
  <c r="Q12" i="24"/>
  <c r="Q52" i="24"/>
  <c r="Q53" i="24" s="1"/>
  <c r="S40" i="23"/>
  <c r="S55" i="23"/>
  <c r="S38" i="23"/>
  <c r="P47" i="24"/>
  <c r="P48" i="24" s="1"/>
  <c r="Y17" i="23"/>
  <c r="T91" i="23"/>
  <c r="T9" i="25"/>
  <c r="T10" i="25" s="1"/>
  <c r="R76" i="23"/>
  <c r="R46" i="23" s="1"/>
  <c r="R41" i="23"/>
  <c r="R6" i="24"/>
  <c r="R8" i="24" s="1"/>
  <c r="R11" i="24" s="1"/>
  <c r="R23" i="24"/>
  <c r="AF84" i="23"/>
  <c r="AF9" i="25" s="1"/>
  <c r="C25" i="24"/>
  <c r="C30" i="24" s="1"/>
  <c r="C47" i="23"/>
  <c r="AB24" i="8"/>
  <c r="AC12" i="24"/>
  <c r="AC66" i="24"/>
  <c r="AB12" i="24"/>
  <c r="AB66" i="24"/>
  <c r="AF10" i="24"/>
  <c r="AF27" i="24"/>
  <c r="AE10" i="25"/>
  <c r="AF13" i="25"/>
  <c r="AF15" i="25"/>
  <c r="AF8" i="25"/>
  <c r="AF12" i="25"/>
  <c r="AF47" i="24"/>
  <c r="AF48" i="24" s="1"/>
  <c r="AG46" i="24"/>
  <c r="AG91" i="23"/>
  <c r="AG46" i="23"/>
  <c r="AG45" i="23"/>
  <c r="AG52" i="23"/>
  <c r="AG83" i="23"/>
  <c r="AG90" i="23"/>
  <c r="AF15" i="23"/>
  <c r="AE37" i="23"/>
  <c r="AE30" i="23"/>
  <c r="AF32" i="23"/>
  <c r="AF36" i="23" s="1"/>
  <c r="AC8" i="15"/>
  <c r="P7" i="6"/>
  <c r="M12" i="7"/>
  <c r="AH41" i="6"/>
  <c r="AD8" i="15"/>
  <c r="AC39" i="7"/>
  <c r="Q77" i="6"/>
  <c r="R79" i="6"/>
  <c r="R78" i="6"/>
  <c r="S76" i="6"/>
  <c r="AJ40" i="6"/>
  <c r="AI44" i="6"/>
  <c r="AI42" i="6"/>
  <c r="AI45" i="6"/>
  <c r="AI43" i="6"/>
  <c r="M28" i="1"/>
  <c r="L28" i="1"/>
  <c r="L9" i="8"/>
  <c r="L26" i="8"/>
  <c r="N5" i="7"/>
  <c r="M83" i="7"/>
  <c r="M90" i="7"/>
  <c r="M52" i="7"/>
  <c r="M33" i="7"/>
  <c r="R5" i="6"/>
  <c r="Q9" i="6"/>
  <c r="L32" i="7"/>
  <c r="L36" i="7" s="1"/>
  <c r="L29" i="7"/>
  <c r="K63" i="8"/>
  <c r="L87" i="7"/>
  <c r="P61" i="1"/>
  <c r="R61" i="1" s="1"/>
  <c r="G42" i="7"/>
  <c r="D62" i="23" l="1"/>
  <c r="D65" i="23" s="1"/>
  <c r="D70" i="23" s="1"/>
  <c r="G59" i="23"/>
  <c r="G60" i="23" s="1"/>
  <c r="E61" i="23"/>
  <c r="F58" i="23"/>
  <c r="F60" i="23" s="1"/>
  <c r="E60" i="23"/>
  <c r="AF10" i="25"/>
  <c r="M63" i="24"/>
  <c r="T10" i="24"/>
  <c r="T27" i="24"/>
  <c r="D67" i="23"/>
  <c r="D72" i="23" s="1"/>
  <c r="U37" i="23"/>
  <c r="U30" i="23"/>
  <c r="U31" i="23" s="1"/>
  <c r="U9" i="25"/>
  <c r="U10" i="25" s="1"/>
  <c r="U91" i="23"/>
  <c r="AD23" i="24"/>
  <c r="AD30" i="24" s="1"/>
  <c r="AD31" i="24" s="1"/>
  <c r="W20" i="23"/>
  <c r="V87" i="23"/>
  <c r="V84" i="23" s="1"/>
  <c r="V29" i="23"/>
  <c r="AD76" i="23"/>
  <c r="S23" i="24"/>
  <c r="S76" i="23"/>
  <c r="S46" i="23" s="1"/>
  <c r="S41" i="23"/>
  <c r="S6" i="24"/>
  <c r="S8" i="24" s="1"/>
  <c r="S11" i="24" s="1"/>
  <c r="S52" i="24" s="1"/>
  <c r="S53" i="24" s="1"/>
  <c r="T40" i="23"/>
  <c r="T55" i="23"/>
  <c r="T38" i="23"/>
  <c r="Q47" i="24"/>
  <c r="Q48" i="24" s="1"/>
  <c r="R66" i="24"/>
  <c r="R69" i="24" s="1"/>
  <c r="R12" i="24"/>
  <c r="R52" i="24"/>
  <c r="R53" i="24" s="1"/>
  <c r="C11" i="25"/>
  <c r="C31" i="24"/>
  <c r="C48" i="23"/>
  <c r="C13" i="25"/>
  <c r="D12" i="25" s="1"/>
  <c r="AD66" i="24"/>
  <c r="AD12" i="24"/>
  <c r="AG47" i="24"/>
  <c r="AG48" i="24" s="1"/>
  <c r="AF30" i="23"/>
  <c r="AF37" i="23"/>
  <c r="AE40" i="23"/>
  <c r="AE55" i="23"/>
  <c r="Q7" i="6"/>
  <c r="M26" i="8" s="1"/>
  <c r="AD39" i="7"/>
  <c r="AD7" i="8" s="1"/>
  <c r="N12" i="7"/>
  <c r="R77" i="6"/>
  <c r="AD24" i="8"/>
  <c r="AI41" i="6"/>
  <c r="AJ44" i="6"/>
  <c r="D44" i="6" s="1"/>
  <c r="AJ42" i="6"/>
  <c r="D42" i="6" s="1"/>
  <c r="AJ45" i="6"/>
  <c r="D45" i="6" s="1"/>
  <c r="AJ43" i="6"/>
  <c r="D43" i="6" s="1"/>
  <c r="S78" i="6"/>
  <c r="T76" i="6"/>
  <c r="S79" i="6"/>
  <c r="AC7" i="8"/>
  <c r="AC24" i="8"/>
  <c r="M32" i="7"/>
  <c r="M36" i="7" s="1"/>
  <c r="M9" i="8"/>
  <c r="L63" i="8"/>
  <c r="R9" i="6"/>
  <c r="S5" i="6"/>
  <c r="M29" i="7"/>
  <c r="N52" i="7"/>
  <c r="O5" i="7"/>
  <c r="N83" i="7"/>
  <c r="N33" i="7"/>
  <c r="N90" i="7"/>
  <c r="M87" i="7"/>
  <c r="G56" i="7"/>
  <c r="Q62" i="1"/>
  <c r="H42" i="23" s="1"/>
  <c r="D71" i="23" l="1"/>
  <c r="H56" i="23"/>
  <c r="H43" i="23"/>
  <c r="H44" i="23" s="1"/>
  <c r="E62" i="23"/>
  <c r="D73" i="23"/>
  <c r="D75" i="23" s="1"/>
  <c r="D45" i="23" s="1"/>
  <c r="N63" i="24"/>
  <c r="D66" i="23"/>
  <c r="V37" i="23"/>
  <c r="V30" i="23"/>
  <c r="V31" i="23" s="1"/>
  <c r="X20" i="23"/>
  <c r="W87" i="23"/>
  <c r="W84" i="23" s="1"/>
  <c r="W29" i="23"/>
  <c r="V91" i="23"/>
  <c r="V9" i="25"/>
  <c r="V10" i="25" s="1"/>
  <c r="U10" i="24"/>
  <c r="U27" i="24"/>
  <c r="T76" i="23"/>
  <c r="T46" i="23" s="1"/>
  <c r="T41" i="23"/>
  <c r="T6" i="24"/>
  <c r="T8" i="24" s="1"/>
  <c r="T11" i="24" s="1"/>
  <c r="T23" i="24"/>
  <c r="U38" i="23"/>
  <c r="U40" i="23"/>
  <c r="U55" i="23"/>
  <c r="R47" i="24"/>
  <c r="R48" i="24" s="1"/>
  <c r="S66" i="24"/>
  <c r="S69" i="24" s="1"/>
  <c r="S12" i="24"/>
  <c r="S47" i="24" s="1"/>
  <c r="S48" i="24" s="1"/>
  <c r="C15" i="25"/>
  <c r="AE6" i="24"/>
  <c r="AE11" i="24" s="1"/>
  <c r="AE23" i="24"/>
  <c r="AE30" i="24" s="1"/>
  <c r="AE31" i="24" s="1"/>
  <c r="AF40" i="23"/>
  <c r="AF55" i="23"/>
  <c r="AE76" i="23"/>
  <c r="R7" i="6"/>
  <c r="AE8" i="15"/>
  <c r="O12" i="7"/>
  <c r="S77" i="6"/>
  <c r="T78" i="6"/>
  <c r="U76" i="6"/>
  <c r="T79" i="6"/>
  <c r="AJ41" i="6"/>
  <c r="AE39" i="7"/>
  <c r="N32" i="7"/>
  <c r="N36" i="7" s="1"/>
  <c r="P5" i="7"/>
  <c r="O83" i="7"/>
  <c r="O90" i="7"/>
  <c r="O52" i="7"/>
  <c r="O33" i="7"/>
  <c r="S9" i="6"/>
  <c r="T5" i="6"/>
  <c r="N26" i="8"/>
  <c r="N9" i="8"/>
  <c r="N29" i="7"/>
  <c r="M63" i="8"/>
  <c r="N87" i="7"/>
  <c r="P62" i="1"/>
  <c r="R62" i="1" s="1"/>
  <c r="H42" i="7"/>
  <c r="D25" i="24" l="1"/>
  <c r="D30" i="24" s="1"/>
  <c r="D15" i="25" s="1"/>
  <c r="D47" i="23"/>
  <c r="D48" i="23" s="1"/>
  <c r="E65" i="23"/>
  <c r="E71" i="23"/>
  <c r="F61" i="23"/>
  <c r="F62" i="23" s="1"/>
  <c r="H58" i="23"/>
  <c r="H59" i="23"/>
  <c r="O63" i="24"/>
  <c r="U41" i="23"/>
  <c r="U6" i="24"/>
  <c r="U76" i="23"/>
  <c r="U46" i="23" s="1"/>
  <c r="U23" i="24"/>
  <c r="V10" i="24"/>
  <c r="V27" i="24"/>
  <c r="W30" i="23"/>
  <c r="W31" i="23" s="1"/>
  <c r="W37" i="23"/>
  <c r="W91" i="23"/>
  <c r="W9" i="25"/>
  <c r="W10" i="25" s="1"/>
  <c r="Y20" i="23"/>
  <c r="X87" i="23"/>
  <c r="X84" i="23" s="1"/>
  <c r="X29" i="23"/>
  <c r="V38" i="23"/>
  <c r="V55" i="23"/>
  <c r="V40" i="23"/>
  <c r="T66" i="24"/>
  <c r="T69" i="24" s="1"/>
  <c r="T12" i="24"/>
  <c r="T52" i="24"/>
  <c r="T53" i="24" s="1"/>
  <c r="D31" i="24"/>
  <c r="AF6" i="24"/>
  <c r="AF11" i="24" s="1"/>
  <c r="AF23" i="24"/>
  <c r="AF30" i="24" s="1"/>
  <c r="AF31" i="24" s="1"/>
  <c r="AE66" i="24"/>
  <c r="AE12" i="24"/>
  <c r="AF76" i="23"/>
  <c r="S7" i="6"/>
  <c r="P12" i="7"/>
  <c r="AF39" i="7"/>
  <c r="AF7" i="8" s="1"/>
  <c r="AF8" i="15"/>
  <c r="D41" i="6"/>
  <c r="AE24" i="8"/>
  <c r="AE7" i="8"/>
  <c r="U79" i="6"/>
  <c r="U78" i="6"/>
  <c r="V76" i="6"/>
  <c r="T77" i="6"/>
  <c r="O32" i="7"/>
  <c r="O36" i="7" s="1"/>
  <c r="O87" i="7"/>
  <c r="O29" i="7"/>
  <c r="N63" i="8"/>
  <c r="T9" i="6"/>
  <c r="U5" i="6"/>
  <c r="O9" i="8"/>
  <c r="O26" i="8"/>
  <c r="P52" i="7"/>
  <c r="P33" i="7"/>
  <c r="Q5" i="7"/>
  <c r="P90" i="7"/>
  <c r="P83" i="7"/>
  <c r="Q63" i="1"/>
  <c r="I42" i="23" s="1"/>
  <c r="H56" i="7"/>
  <c r="H60" i="23" l="1"/>
  <c r="D13" i="25"/>
  <c r="E12" i="25" s="1"/>
  <c r="I56" i="23"/>
  <c r="I59" i="23" s="1"/>
  <c r="I43" i="23"/>
  <c r="I44" i="23" s="1"/>
  <c r="F71" i="23"/>
  <c r="F65" i="23"/>
  <c r="E70" i="23"/>
  <c r="E67" i="23"/>
  <c r="E72" i="23" s="1"/>
  <c r="G61" i="23"/>
  <c r="G62" i="23" s="1"/>
  <c r="P63" i="24"/>
  <c r="W40" i="23"/>
  <c r="W38" i="23"/>
  <c r="W55" i="23"/>
  <c r="Y29" i="23"/>
  <c r="Y87" i="23"/>
  <c r="Y84" i="23" s="1"/>
  <c r="T47" i="24"/>
  <c r="T48" i="24" s="1"/>
  <c r="U8" i="24"/>
  <c r="U11" i="24" s="1"/>
  <c r="W10" i="24"/>
  <c r="W27" i="24"/>
  <c r="V76" i="23"/>
  <c r="V46" i="23" s="1"/>
  <c r="V23" i="24"/>
  <c r="V6" i="24"/>
  <c r="V8" i="24" s="1"/>
  <c r="V11" i="24" s="1"/>
  <c r="V41" i="23"/>
  <c r="X37" i="23"/>
  <c r="X30" i="23"/>
  <c r="X31" i="23" s="1"/>
  <c r="X91" i="23"/>
  <c r="X9" i="25"/>
  <c r="X10" i="25" s="1"/>
  <c r="AF12" i="24"/>
  <c r="AF66" i="24"/>
  <c r="T7" i="6"/>
  <c r="Q12" i="7"/>
  <c r="U77" i="6"/>
  <c r="AF24" i="8"/>
  <c r="V79" i="6"/>
  <c r="V78" i="6"/>
  <c r="W76" i="6"/>
  <c r="P29" i="7"/>
  <c r="R5" i="7"/>
  <c r="Q83" i="7"/>
  <c r="Q90" i="7"/>
  <c r="Q52" i="7"/>
  <c r="Q33" i="7"/>
  <c r="V5" i="6"/>
  <c r="U9" i="6"/>
  <c r="P9" i="8"/>
  <c r="P26" i="8"/>
  <c r="P32" i="7"/>
  <c r="P36" i="7" s="1"/>
  <c r="O63" i="8"/>
  <c r="P87" i="7"/>
  <c r="P63" i="1"/>
  <c r="R63" i="1" s="1"/>
  <c r="I42" i="7"/>
  <c r="E73" i="23" l="1"/>
  <c r="E75" i="23" s="1"/>
  <c r="E45" i="23" s="1"/>
  <c r="E66" i="23"/>
  <c r="F67" i="23" s="1"/>
  <c r="F70" i="23"/>
  <c r="G71" i="23"/>
  <c r="G65" i="23"/>
  <c r="H61" i="23"/>
  <c r="H62" i="23" s="1"/>
  <c r="I58" i="23"/>
  <c r="I60" i="23" s="1"/>
  <c r="Q63" i="24"/>
  <c r="Y9" i="25"/>
  <c r="Y10" i="25" s="1"/>
  <c r="Y91" i="23"/>
  <c r="Z91" i="23"/>
  <c r="X10" i="24"/>
  <c r="X27" i="24"/>
  <c r="V66" i="24"/>
  <c r="V69" i="24" s="1"/>
  <c r="V12" i="24"/>
  <c r="Y37" i="23"/>
  <c r="Y30" i="23"/>
  <c r="Y31" i="23" s="1"/>
  <c r="U12" i="24"/>
  <c r="U66" i="24"/>
  <c r="U69" i="24" s="1"/>
  <c r="U52" i="24"/>
  <c r="U53" i="24" s="1"/>
  <c r="V52" i="24"/>
  <c r="V53" i="24" s="1"/>
  <c r="X40" i="23"/>
  <c r="X38" i="23"/>
  <c r="X55" i="23"/>
  <c r="W23" i="24"/>
  <c r="W6" i="24"/>
  <c r="W8" i="24" s="1"/>
  <c r="W11" i="24" s="1"/>
  <c r="W52" i="24" s="1"/>
  <c r="W53" i="24" s="1"/>
  <c r="W41" i="23"/>
  <c r="W76" i="23"/>
  <c r="W46" i="23" s="1"/>
  <c r="U7" i="6"/>
  <c r="R12" i="7"/>
  <c r="V77" i="6"/>
  <c r="W78" i="6"/>
  <c r="X76" i="6"/>
  <c r="W79" i="6"/>
  <c r="Q29" i="7"/>
  <c r="Q9" i="8"/>
  <c r="Q26" i="8"/>
  <c r="V9" i="6"/>
  <c r="W5" i="6"/>
  <c r="R52" i="7"/>
  <c r="R33" i="7"/>
  <c r="S5" i="7"/>
  <c r="R90" i="7"/>
  <c r="R83" i="7"/>
  <c r="P63" i="8"/>
  <c r="Q87" i="7"/>
  <c r="Q32" i="7"/>
  <c r="Q36" i="7" s="1"/>
  <c r="I56" i="7"/>
  <c r="Q64" i="1"/>
  <c r="J42" i="23" s="1"/>
  <c r="E47" i="23" l="1"/>
  <c r="E25" i="24"/>
  <c r="E30" i="24" s="1"/>
  <c r="H71" i="23"/>
  <c r="H65" i="23"/>
  <c r="G70" i="23"/>
  <c r="F72" i="23"/>
  <c r="F73" i="23"/>
  <c r="F75" i="23" s="1"/>
  <c r="F45" i="23" s="1"/>
  <c r="F66" i="23"/>
  <c r="G67" i="23" s="1"/>
  <c r="G72" i="23" s="1"/>
  <c r="J56" i="23"/>
  <c r="J43" i="23"/>
  <c r="J44" i="23" s="1"/>
  <c r="I61" i="23"/>
  <c r="I62" i="23" s="1"/>
  <c r="R63" i="24"/>
  <c r="V47" i="24"/>
  <c r="V48" i="24" s="1"/>
  <c r="U47" i="24"/>
  <c r="U48" i="24" s="1"/>
  <c r="X76" i="23"/>
  <c r="X46" i="23" s="1"/>
  <c r="X41" i="23"/>
  <c r="X23" i="24"/>
  <c r="X6" i="24"/>
  <c r="W12" i="24"/>
  <c r="W47" i="24" s="1"/>
  <c r="W48" i="24" s="1"/>
  <c r="W66" i="24"/>
  <c r="W69" i="24" s="1"/>
  <c r="Y55" i="23"/>
  <c r="Y40" i="23"/>
  <c r="Y38" i="23"/>
  <c r="Z10" i="24"/>
  <c r="Z11" i="24" s="1"/>
  <c r="Z27" i="24"/>
  <c r="Z30" i="24" s="1"/>
  <c r="Z31" i="24" s="1"/>
  <c r="Y27" i="24"/>
  <c r="Y10" i="24"/>
  <c r="V7" i="6"/>
  <c r="S12" i="7"/>
  <c r="Y76" i="6"/>
  <c r="X78" i="6"/>
  <c r="X79" i="6"/>
  <c r="W77" i="6"/>
  <c r="R32" i="7"/>
  <c r="R36" i="7" s="1"/>
  <c r="R87" i="7"/>
  <c r="R9" i="8"/>
  <c r="R26" i="8"/>
  <c r="R29" i="7"/>
  <c r="X5" i="6"/>
  <c r="W9" i="6"/>
  <c r="S83" i="7"/>
  <c r="S90" i="7"/>
  <c r="S33" i="7"/>
  <c r="S52" i="7"/>
  <c r="T5" i="7"/>
  <c r="Q63" i="8"/>
  <c r="J42" i="7"/>
  <c r="P64" i="1"/>
  <c r="R64" i="1" s="1"/>
  <c r="I71" i="23" l="1"/>
  <c r="I65" i="23"/>
  <c r="I70" i="23" s="1"/>
  <c r="F25" i="24"/>
  <c r="F30" i="24" s="1"/>
  <c r="F31" i="24" s="1"/>
  <c r="F47" i="23"/>
  <c r="G66" i="23"/>
  <c r="G73" i="23"/>
  <c r="G75" i="23" s="1"/>
  <c r="G45" i="23" s="1"/>
  <c r="H70" i="23"/>
  <c r="H67" i="23"/>
  <c r="E31" i="24"/>
  <c r="E15" i="25"/>
  <c r="F15" i="25" s="1"/>
  <c r="J59" i="23"/>
  <c r="J58" i="23"/>
  <c r="E13" i="25"/>
  <c r="F12" i="25" s="1"/>
  <c r="E48" i="23"/>
  <c r="S63" i="24"/>
  <c r="X8" i="24"/>
  <c r="X11" i="24" s="1"/>
  <c r="Z66" i="24"/>
  <c r="Z12" i="24"/>
  <c r="Y41" i="23"/>
  <c r="Y23" i="24"/>
  <c r="Y76" i="23"/>
  <c r="Y46" i="23" s="1"/>
  <c r="Y6" i="24"/>
  <c r="W7" i="6"/>
  <c r="T12" i="7"/>
  <c r="X77" i="6"/>
  <c r="Z76" i="6"/>
  <c r="Y79" i="6"/>
  <c r="Y78" i="6"/>
  <c r="S87" i="7"/>
  <c r="S32" i="7"/>
  <c r="S36" i="7" s="1"/>
  <c r="X9" i="6"/>
  <c r="Y5" i="6"/>
  <c r="R63" i="8"/>
  <c r="T52" i="7"/>
  <c r="T33" i="7"/>
  <c r="U5" i="7"/>
  <c r="T83" i="7"/>
  <c r="T90" i="7"/>
  <c r="S29" i="7"/>
  <c r="S9" i="8"/>
  <c r="S26" i="8"/>
  <c r="J56" i="7"/>
  <c r="Q65" i="1"/>
  <c r="K42" i="23" s="1"/>
  <c r="J60" i="23" l="1"/>
  <c r="H72" i="23"/>
  <c r="H73" i="23"/>
  <c r="G25" i="24"/>
  <c r="G30" i="24" s="1"/>
  <c r="G31" i="24" s="1"/>
  <c r="G47" i="23"/>
  <c r="H66" i="23"/>
  <c r="I67" i="23" s="1"/>
  <c r="I72" i="23" s="1"/>
  <c r="F48" i="23"/>
  <c r="F13" i="25"/>
  <c r="G12" i="25" s="1"/>
  <c r="K56" i="23"/>
  <c r="K59" i="23" s="1"/>
  <c r="K43" i="23"/>
  <c r="J61" i="23"/>
  <c r="J62" i="23" s="1"/>
  <c r="T63" i="24"/>
  <c r="X66" i="24"/>
  <c r="X12" i="24"/>
  <c r="X47" i="24" s="1"/>
  <c r="X48" i="24" s="1"/>
  <c r="X52" i="24"/>
  <c r="X53" i="24" s="1"/>
  <c r="Y8" i="24"/>
  <c r="Y11" i="24" s="1"/>
  <c r="X7" i="6"/>
  <c r="U12" i="7"/>
  <c r="Y77" i="6"/>
  <c r="Z79" i="6"/>
  <c r="Z78" i="6"/>
  <c r="AA76" i="6"/>
  <c r="T29" i="7"/>
  <c r="U83" i="7"/>
  <c r="U90" i="7"/>
  <c r="U52" i="7"/>
  <c r="U33" i="7"/>
  <c r="V5" i="7"/>
  <c r="Z5" i="6"/>
  <c r="Y9" i="6"/>
  <c r="T87" i="7"/>
  <c r="S63" i="8"/>
  <c r="T9" i="8"/>
  <c r="T26" i="8"/>
  <c r="T32" i="7"/>
  <c r="T36" i="7" s="1"/>
  <c r="P65" i="1"/>
  <c r="R65" i="1" s="1"/>
  <c r="K42" i="7"/>
  <c r="I66" i="23" l="1"/>
  <c r="G15" i="25"/>
  <c r="H75" i="23"/>
  <c r="H45" i="23" s="1"/>
  <c r="K61" i="23"/>
  <c r="J71" i="23"/>
  <c r="J65" i="23"/>
  <c r="K58" i="23"/>
  <c r="K60" i="23" s="1"/>
  <c r="K62" i="23" s="1"/>
  <c r="K71" i="23" s="1"/>
  <c r="I73" i="23"/>
  <c r="I75" i="23" s="1"/>
  <c r="I45" i="23" s="1"/>
  <c r="G13" i="25"/>
  <c r="H12" i="25" s="1"/>
  <c r="G48" i="23"/>
  <c r="K44" i="23"/>
  <c r="K65" i="23"/>
  <c r="K70" i="23" s="1"/>
  <c r="H47" i="23"/>
  <c r="H25" i="24"/>
  <c r="H30" i="24" s="1"/>
  <c r="U63" i="24"/>
  <c r="Y66" i="24"/>
  <c r="Y69" i="24" s="1"/>
  <c r="Y12" i="24"/>
  <c r="Y52" i="24"/>
  <c r="Y53" i="24" s="1"/>
  <c r="Z52" i="24"/>
  <c r="Z53" i="24" s="1"/>
  <c r="C15" i="24"/>
  <c r="J14" i="1" s="1"/>
  <c r="C16" i="24"/>
  <c r="J15" i="1" s="1"/>
  <c r="X69" i="24"/>
  <c r="J19" i="1"/>
  <c r="Y7" i="6"/>
  <c r="V12" i="7"/>
  <c r="Z77" i="6"/>
  <c r="AB76" i="6"/>
  <c r="AA78" i="6"/>
  <c r="AA79" i="6"/>
  <c r="U32" i="7"/>
  <c r="U36" i="7" s="1"/>
  <c r="U29" i="7"/>
  <c r="U9" i="8"/>
  <c r="U26" i="8"/>
  <c r="Z9" i="6"/>
  <c r="AA5" i="6"/>
  <c r="U87" i="7"/>
  <c r="W5" i="7"/>
  <c r="V33" i="7"/>
  <c r="V90" i="7"/>
  <c r="V83" i="7"/>
  <c r="V52" i="7"/>
  <c r="T63" i="8"/>
  <c r="K56" i="7"/>
  <c r="Q66" i="1"/>
  <c r="L42" i="23" s="1"/>
  <c r="I25" i="24" l="1"/>
  <c r="I30" i="24" s="1"/>
  <c r="I31" i="24" s="1"/>
  <c r="I47" i="23"/>
  <c r="H13" i="25"/>
  <c r="I12" i="25" s="1"/>
  <c r="H48" i="23"/>
  <c r="L56" i="23"/>
  <c r="L43" i="23"/>
  <c r="J70" i="23"/>
  <c r="J67" i="23"/>
  <c r="H31" i="24"/>
  <c r="H15" i="25"/>
  <c r="V63" i="24"/>
  <c r="C41" i="24"/>
  <c r="J21" i="1" s="1"/>
  <c r="Y47" i="24"/>
  <c r="Y48" i="24" s="1"/>
  <c r="Z47" i="24"/>
  <c r="Z48" i="24" s="1"/>
  <c r="C71" i="24"/>
  <c r="C57" i="24" s="1"/>
  <c r="J18" i="1" s="1"/>
  <c r="Z7" i="6"/>
  <c r="X5" i="7"/>
  <c r="W12" i="7"/>
  <c r="AA77" i="6"/>
  <c r="AB78" i="6"/>
  <c r="AB79" i="6"/>
  <c r="AC76" i="6"/>
  <c r="W52" i="7"/>
  <c r="W34" i="7"/>
  <c r="W33" i="7"/>
  <c r="W83" i="7"/>
  <c r="W90" i="7"/>
  <c r="U63" i="8"/>
  <c r="V29" i="7"/>
  <c r="AA9" i="6"/>
  <c r="AB5" i="6"/>
  <c r="V26" i="8"/>
  <c r="V9" i="8"/>
  <c r="V32" i="7"/>
  <c r="V36" i="7" s="1"/>
  <c r="V87" i="7"/>
  <c r="P66" i="1"/>
  <c r="R66" i="1" s="1"/>
  <c r="L42" i="7"/>
  <c r="I15" i="25" l="1"/>
  <c r="L59" i="23"/>
  <c r="L58" i="23"/>
  <c r="J66" i="23"/>
  <c r="K67" i="23" s="1"/>
  <c r="J73" i="23"/>
  <c r="J72" i="23"/>
  <c r="L44" i="23"/>
  <c r="I13" i="25"/>
  <c r="J12" i="25" s="1"/>
  <c r="I48" i="23"/>
  <c r="C40" i="24"/>
  <c r="J20" i="1" s="1"/>
  <c r="W63" i="24"/>
  <c r="AA7" i="6"/>
  <c r="Y5" i="7"/>
  <c r="X12" i="7"/>
  <c r="W87" i="7"/>
  <c r="W6" i="7"/>
  <c r="W15" i="7" s="1"/>
  <c r="W85" i="7" s="1"/>
  <c r="AD76" i="6"/>
  <c r="AC79" i="6"/>
  <c r="AC78" i="6"/>
  <c r="AB77" i="6"/>
  <c r="W29" i="7"/>
  <c r="X52" i="7"/>
  <c r="X83" i="7"/>
  <c r="X33" i="7"/>
  <c r="X34" i="7"/>
  <c r="X90" i="7"/>
  <c r="W32" i="7"/>
  <c r="W36" i="7" s="1"/>
  <c r="AB9" i="6"/>
  <c r="AC5" i="6"/>
  <c r="V63" i="8"/>
  <c r="W26" i="8"/>
  <c r="W9" i="8"/>
  <c r="L56" i="7"/>
  <c r="Q67" i="1"/>
  <c r="M42" i="23" s="1"/>
  <c r="J75" i="23" l="1"/>
  <c r="J45" i="23" s="1"/>
  <c r="J25" i="24" s="1"/>
  <c r="J30" i="24" s="1"/>
  <c r="L60" i="23"/>
  <c r="K66" i="23"/>
  <c r="K72" i="23"/>
  <c r="K73" i="23"/>
  <c r="M56" i="23"/>
  <c r="M59" i="23" s="1"/>
  <c r="M43" i="23"/>
  <c r="M58" i="23"/>
  <c r="L61" i="23"/>
  <c r="L62" i="23" s="1"/>
  <c r="X63" i="24"/>
  <c r="AB7" i="6"/>
  <c r="Y12" i="7"/>
  <c r="X6" i="7"/>
  <c r="W84" i="7"/>
  <c r="W9" i="15" s="1"/>
  <c r="W10" i="15" s="1"/>
  <c r="AC77" i="6"/>
  <c r="X87" i="7"/>
  <c r="AD79" i="6"/>
  <c r="AD78" i="6"/>
  <c r="AE76" i="6"/>
  <c r="X15" i="7"/>
  <c r="X85" i="7" s="1"/>
  <c r="X32" i="7"/>
  <c r="X36" i="7" s="1"/>
  <c r="X9" i="8"/>
  <c r="X26" i="8"/>
  <c r="X29" i="7"/>
  <c r="AC9" i="6"/>
  <c r="AD5" i="6"/>
  <c r="Y52" i="7"/>
  <c r="Z5" i="7"/>
  <c r="Z16" i="7" s="1"/>
  <c r="Y83" i="7"/>
  <c r="Y90" i="7"/>
  <c r="Y34" i="7"/>
  <c r="Y33" i="7"/>
  <c r="W37" i="7"/>
  <c r="W38" i="7" s="1"/>
  <c r="W30" i="7"/>
  <c r="W31" i="7" s="1"/>
  <c r="W63" i="8"/>
  <c r="P67" i="1"/>
  <c r="R67" i="1" s="1"/>
  <c r="M42" i="7"/>
  <c r="M60" i="23" l="1"/>
  <c r="K75" i="23"/>
  <c r="K45" i="23" s="1"/>
  <c r="K47" i="23" s="1"/>
  <c r="J47" i="23"/>
  <c r="L71" i="23"/>
  <c r="M61" i="23"/>
  <c r="L65" i="23"/>
  <c r="M44" i="23"/>
  <c r="J13" i="25"/>
  <c r="J48" i="23"/>
  <c r="J31" i="24"/>
  <c r="J15" i="25"/>
  <c r="Y63" i="24"/>
  <c r="AC7" i="6"/>
  <c r="AD77" i="6"/>
  <c r="X84" i="7"/>
  <c r="X9" i="15" s="1"/>
  <c r="X10" i="15" s="1"/>
  <c r="Y87" i="7"/>
  <c r="Y6" i="7"/>
  <c r="Y15" i="7" s="1"/>
  <c r="Y85" i="7" s="1"/>
  <c r="AF76" i="6"/>
  <c r="AE78" i="6"/>
  <c r="AE79" i="6"/>
  <c r="X37" i="7"/>
  <c r="X30" i="7"/>
  <c r="X31" i="7" s="1"/>
  <c r="Z7" i="7"/>
  <c r="Z8" i="7"/>
  <c r="Z12" i="7"/>
  <c r="AD9" i="6"/>
  <c r="AD7" i="6" s="1"/>
  <c r="AE5" i="6"/>
  <c r="Y26" i="8"/>
  <c r="Y9" i="8"/>
  <c r="Y32" i="7"/>
  <c r="Y36" i="7" s="1"/>
  <c r="W55" i="7"/>
  <c r="W40" i="7"/>
  <c r="Z52" i="7"/>
  <c r="AA5" i="7"/>
  <c r="AA16" i="7" s="1"/>
  <c r="Z83" i="7"/>
  <c r="Z90" i="7"/>
  <c r="Z28" i="7"/>
  <c r="Z33" i="7"/>
  <c r="Z34" i="7"/>
  <c r="Z17" i="7"/>
  <c r="Y29" i="7"/>
  <c r="X63" i="8"/>
  <c r="M56" i="7"/>
  <c r="Q68" i="1"/>
  <c r="N42" i="23" s="1"/>
  <c r="M62" i="23" l="1"/>
  <c r="M71" i="23" s="1"/>
  <c r="K25" i="24"/>
  <c r="K30" i="24" s="1"/>
  <c r="K15" i="25" s="1"/>
  <c r="K13" i="25"/>
  <c r="K48" i="23"/>
  <c r="L70" i="23"/>
  <c r="L67" i="23"/>
  <c r="N56" i="23"/>
  <c r="N43" i="23"/>
  <c r="K12" i="25"/>
  <c r="Z63" i="24"/>
  <c r="AA4" i="24"/>
  <c r="X91" i="7"/>
  <c r="X27" i="8" s="1"/>
  <c r="Y84" i="7"/>
  <c r="Y9" i="15" s="1"/>
  <c r="Y10" i="15" s="1"/>
  <c r="Z6" i="7"/>
  <c r="Z87" i="7"/>
  <c r="X55" i="7"/>
  <c r="X38" i="7"/>
  <c r="W76" i="7"/>
  <c r="W46" i="7" s="1"/>
  <c r="W41" i="7"/>
  <c r="X40" i="7"/>
  <c r="X23" i="8" s="1"/>
  <c r="AE77" i="6"/>
  <c r="AF78" i="6"/>
  <c r="AF79" i="6"/>
  <c r="AG76" i="6"/>
  <c r="AA7" i="7"/>
  <c r="AA12" i="7"/>
  <c r="AA8" i="7"/>
  <c r="Z32" i="7"/>
  <c r="Z36" i="7" s="1"/>
  <c r="AA28" i="7"/>
  <c r="AA34" i="7"/>
  <c r="AA52" i="7"/>
  <c r="AA90" i="7"/>
  <c r="AA33" i="7"/>
  <c r="AA17" i="7"/>
  <c r="AA87" i="7" s="1"/>
  <c r="AB5" i="7"/>
  <c r="AB16" i="7" s="1"/>
  <c r="AA83" i="7"/>
  <c r="Z29" i="7"/>
  <c r="W6" i="8"/>
  <c r="W23" i="8"/>
  <c r="Z4" i="8"/>
  <c r="Y63" i="8"/>
  <c r="Z26" i="8"/>
  <c r="Z9" i="8"/>
  <c r="Y30" i="7"/>
  <c r="Y31" i="7" s="1"/>
  <c r="Y37" i="7"/>
  <c r="Y38" i="7" s="1"/>
  <c r="Z15" i="7"/>
  <c r="Z85" i="7" s="1"/>
  <c r="AF5" i="6"/>
  <c r="AE7" i="6"/>
  <c r="AE9" i="6"/>
  <c r="N42" i="7"/>
  <c r="P68" i="1"/>
  <c r="R68" i="1" s="1"/>
  <c r="M65" i="23" l="1"/>
  <c r="M70" i="23" s="1"/>
  <c r="K31" i="24"/>
  <c r="L12" i="25"/>
  <c r="L66" i="23"/>
  <c r="L72" i="23"/>
  <c r="N44" i="23"/>
  <c r="N59" i="23"/>
  <c r="N58" i="23"/>
  <c r="L73" i="23"/>
  <c r="AB4" i="24"/>
  <c r="AA63" i="24"/>
  <c r="X10" i="8"/>
  <c r="Y91" i="7"/>
  <c r="Y10" i="8" s="1"/>
  <c r="Z84" i="7"/>
  <c r="Z9" i="15" s="1"/>
  <c r="Z10" i="15" s="1"/>
  <c r="AA6" i="7"/>
  <c r="X76" i="7"/>
  <c r="X46" i="7" s="1"/>
  <c r="X41" i="7"/>
  <c r="W8" i="8"/>
  <c r="X6" i="8"/>
  <c r="AG79" i="6"/>
  <c r="AH76" i="6"/>
  <c r="AG78" i="6"/>
  <c r="AG77" i="6" s="1"/>
  <c r="AF77" i="6"/>
  <c r="AA15" i="7"/>
  <c r="AA85" i="7" s="1"/>
  <c r="AA84" i="7" s="1"/>
  <c r="AB7" i="7"/>
  <c r="AB8" i="7"/>
  <c r="AB12" i="7"/>
  <c r="AB17" i="7"/>
  <c r="AB28" i="7"/>
  <c r="AC5" i="7"/>
  <c r="AC16" i="7" s="1"/>
  <c r="AB90" i="7"/>
  <c r="AB34" i="7"/>
  <c r="AB83" i="7"/>
  <c r="AB33" i="7"/>
  <c r="AB52" i="7"/>
  <c r="AB87" i="7"/>
  <c r="AA9" i="8"/>
  <c r="AA26" i="8"/>
  <c r="Z37" i="7"/>
  <c r="Z38" i="7" s="1"/>
  <c r="Z30" i="7"/>
  <c r="Z31" i="7" s="1"/>
  <c r="AG5" i="6"/>
  <c r="AF9" i="6"/>
  <c r="AF7" i="6" s="1"/>
  <c r="Y55" i="7"/>
  <c r="Y40" i="7"/>
  <c r="AA32" i="7"/>
  <c r="AA36" i="7" s="1"/>
  <c r="AA4" i="8"/>
  <c r="Z63" i="8"/>
  <c r="AA29" i="7"/>
  <c r="Q69" i="1"/>
  <c r="O42" i="23" s="1"/>
  <c r="N56" i="7"/>
  <c r="M67" i="23" l="1"/>
  <c r="M72" i="23" s="1"/>
  <c r="L75" i="23"/>
  <c r="L45" i="23" s="1"/>
  <c r="N60" i="23"/>
  <c r="O56" i="23"/>
  <c r="O59" i="23" s="1"/>
  <c r="O43" i="23"/>
  <c r="M73" i="23"/>
  <c r="M75" i="23" s="1"/>
  <c r="M45" i="23" s="1"/>
  <c r="M66" i="23"/>
  <c r="L25" i="24"/>
  <c r="L30" i="24" s="1"/>
  <c r="L47" i="23"/>
  <c r="O58" i="23"/>
  <c r="O60" i="23" s="1"/>
  <c r="N61" i="23"/>
  <c r="N62" i="23" s="1"/>
  <c r="AC4" i="24"/>
  <c r="AB63" i="24"/>
  <c r="Y27" i="8"/>
  <c r="Z91" i="7"/>
  <c r="Z27" i="8" s="1"/>
  <c r="AB6" i="7"/>
  <c r="AA9" i="15"/>
  <c r="AA10" i="15" s="1"/>
  <c r="AA91" i="7"/>
  <c r="Y76" i="7"/>
  <c r="Y46" i="7" s="1"/>
  <c r="Y41" i="7"/>
  <c r="X8" i="8"/>
  <c r="X11" i="8" s="1"/>
  <c r="AH79" i="6"/>
  <c r="AH78" i="6"/>
  <c r="AI76" i="6"/>
  <c r="AC8" i="7"/>
  <c r="AC7" i="7"/>
  <c r="AC12" i="7"/>
  <c r="AA37" i="7"/>
  <c r="AB32" i="7"/>
  <c r="AB36" i="7" s="1"/>
  <c r="AG9" i="6"/>
  <c r="AG7" i="6"/>
  <c r="AH5" i="6"/>
  <c r="Z55" i="7"/>
  <c r="Z40" i="7"/>
  <c r="AC52" i="7"/>
  <c r="AC17" i="7"/>
  <c r="AC28" i="7"/>
  <c r="AC83" i="7"/>
  <c r="AD5" i="7"/>
  <c r="AD16" i="7" s="1"/>
  <c r="AC90" i="7"/>
  <c r="AC33" i="7"/>
  <c r="AC34" i="7"/>
  <c r="AB29" i="7"/>
  <c r="AB4" i="8"/>
  <c r="AA63" i="8"/>
  <c r="AB15" i="7"/>
  <c r="AB85" i="7" s="1"/>
  <c r="AB84" i="7" s="1"/>
  <c r="Y23" i="8"/>
  <c r="Y6" i="8"/>
  <c r="AA30" i="7"/>
  <c r="AA31" i="7" s="1"/>
  <c r="AB9" i="8"/>
  <c r="AB26" i="8"/>
  <c r="P69" i="1"/>
  <c r="R69" i="1" s="1"/>
  <c r="O42" i="7"/>
  <c r="O61" i="23" l="1"/>
  <c r="O62" i="23" s="1"/>
  <c r="O71" i="23" s="1"/>
  <c r="N71" i="23"/>
  <c r="N65" i="23"/>
  <c r="L13" i="25"/>
  <c r="M12" i="25" s="1"/>
  <c r="L48" i="23"/>
  <c r="L31" i="24"/>
  <c r="L15" i="25"/>
  <c r="O44" i="23"/>
  <c r="M25" i="24"/>
  <c r="M30" i="24" s="1"/>
  <c r="M31" i="24" s="1"/>
  <c r="M47" i="23"/>
  <c r="AD4" i="24"/>
  <c r="AC63" i="24"/>
  <c r="Z10" i="8"/>
  <c r="AH77" i="6"/>
  <c r="AC6" i="7"/>
  <c r="AC87" i="7"/>
  <c r="AB9" i="15"/>
  <c r="AB10" i="15" s="1"/>
  <c r="AB91" i="7"/>
  <c r="X12" i="8"/>
  <c r="X66" i="8"/>
  <c r="X69" i="8" s="1"/>
  <c r="Z76" i="7"/>
  <c r="Z41" i="7"/>
  <c r="AA55" i="7"/>
  <c r="AA38" i="7"/>
  <c r="AA10" i="8"/>
  <c r="AA27" i="8"/>
  <c r="AI78" i="6"/>
  <c r="AJ76" i="6"/>
  <c r="AI79" i="6"/>
  <c r="AD12" i="7"/>
  <c r="AD7" i="7"/>
  <c r="AD8" i="7"/>
  <c r="AA40" i="7"/>
  <c r="AD52" i="7"/>
  <c r="AD17" i="7"/>
  <c r="AD28" i="7"/>
  <c r="AE5" i="7"/>
  <c r="AE16" i="7" s="1"/>
  <c r="AD90" i="7"/>
  <c r="AD83" i="7"/>
  <c r="AD34" i="7"/>
  <c r="AD33" i="7"/>
  <c r="AD87" i="7"/>
  <c r="AC29" i="7"/>
  <c r="Z23" i="8"/>
  <c r="Z6" i="8"/>
  <c r="Z46" i="7"/>
  <c r="Y8" i="8"/>
  <c r="Y11" i="8" s="1"/>
  <c r="AI5" i="6"/>
  <c r="AH9" i="6"/>
  <c r="AH7" i="6"/>
  <c r="AC15" i="7"/>
  <c r="AC85" i="7" s="1"/>
  <c r="AB30" i="7"/>
  <c r="AB31" i="7" s="1"/>
  <c r="AB37" i="7"/>
  <c r="AC32" i="7"/>
  <c r="AC36" i="7" s="1"/>
  <c r="AC9" i="8"/>
  <c r="AC26" i="8"/>
  <c r="AC4" i="8"/>
  <c r="AB63" i="8"/>
  <c r="O56" i="7"/>
  <c r="Q70" i="1"/>
  <c r="P42" i="23" s="1"/>
  <c r="M15" i="25" l="1"/>
  <c r="N70" i="23"/>
  <c r="N67" i="23"/>
  <c r="N73" i="23" s="1"/>
  <c r="M48" i="23"/>
  <c r="M13" i="25"/>
  <c r="O65" i="23"/>
  <c r="P56" i="23"/>
  <c r="P43" i="23"/>
  <c r="AD63" i="24"/>
  <c r="AE4" i="24"/>
  <c r="AD6" i="7"/>
  <c r="AD15" i="7" s="1"/>
  <c r="AD85" i="7" s="1"/>
  <c r="AD84" i="7" s="1"/>
  <c r="AC84" i="7"/>
  <c r="AC9" i="15" s="1"/>
  <c r="AC10" i="15" s="1"/>
  <c r="AA76" i="7"/>
  <c r="AA46" i="7" s="1"/>
  <c r="AA41" i="7"/>
  <c r="Z8" i="8"/>
  <c r="Z11" i="8" s="1"/>
  <c r="AB10" i="8"/>
  <c r="AB27" i="8"/>
  <c r="AJ78" i="6"/>
  <c r="AJ79" i="6"/>
  <c r="D79" i="6" s="1"/>
  <c r="AI77" i="6"/>
  <c r="AA6" i="8"/>
  <c r="AA23" i="8"/>
  <c r="AE7" i="7"/>
  <c r="AE8" i="7"/>
  <c r="AE12" i="7"/>
  <c r="Y66" i="8"/>
  <c r="Y69" i="8" s="1"/>
  <c r="Y12" i="8"/>
  <c r="AD32" i="7"/>
  <c r="AD36" i="7" s="1"/>
  <c r="AD29" i="7"/>
  <c r="AD9" i="8"/>
  <c r="AD26" i="8"/>
  <c r="AE83" i="7"/>
  <c r="AE90" i="7"/>
  <c r="AE52" i="7"/>
  <c r="AF5" i="7"/>
  <c r="AF16" i="7" s="1"/>
  <c r="AE17" i="7"/>
  <c r="AE34" i="7"/>
  <c r="AE28" i="7"/>
  <c r="AE33" i="7"/>
  <c r="AI9" i="6"/>
  <c r="AJ5" i="6"/>
  <c r="AI7" i="6"/>
  <c r="AD4" i="8"/>
  <c r="AC63" i="8"/>
  <c r="AB38" i="7"/>
  <c r="AB55" i="7"/>
  <c r="AB40" i="7"/>
  <c r="AC30" i="7"/>
  <c r="AC31" i="7" s="1"/>
  <c r="AC37" i="7"/>
  <c r="P42" i="7"/>
  <c r="P70" i="1"/>
  <c r="R70" i="1" s="1"/>
  <c r="N66" i="23" l="1"/>
  <c r="O67" i="23" s="1"/>
  <c r="N72" i="23"/>
  <c r="N75" i="23" s="1"/>
  <c r="N45" i="23" s="1"/>
  <c r="P44" i="23"/>
  <c r="N12" i="25"/>
  <c r="O70" i="23"/>
  <c r="P59" i="23"/>
  <c r="P58" i="23"/>
  <c r="P60" i="23" s="1"/>
  <c r="AE63" i="24"/>
  <c r="AF4" i="24"/>
  <c r="AC91" i="7"/>
  <c r="AC10" i="8" s="1"/>
  <c r="AE87" i="7"/>
  <c r="AE6" i="7"/>
  <c r="AD9" i="15"/>
  <c r="AD10" i="15" s="1"/>
  <c r="AD91" i="7"/>
  <c r="Z66" i="8"/>
  <c r="Z69" i="8" s="1"/>
  <c r="Z12" i="8"/>
  <c r="AA8" i="8"/>
  <c r="AA11" i="8" s="1"/>
  <c r="AB76" i="7"/>
  <c r="AB46" i="7" s="1"/>
  <c r="AB41" i="7"/>
  <c r="AJ77" i="6"/>
  <c r="D77" i="6" s="1"/>
  <c r="D78" i="6"/>
  <c r="AD30" i="7"/>
  <c r="AD31" i="7" s="1"/>
  <c r="AE15" i="7"/>
  <c r="AE85" i="7" s="1"/>
  <c r="AD37" i="7"/>
  <c r="AD40" i="7" s="1"/>
  <c r="AF7" i="7"/>
  <c r="AF12" i="7"/>
  <c r="AF8" i="7"/>
  <c r="AF52" i="7"/>
  <c r="AF90" i="7"/>
  <c r="AG5" i="7"/>
  <c r="AF17" i="7"/>
  <c r="AF28" i="7"/>
  <c r="AF83" i="7"/>
  <c r="AF34" i="7"/>
  <c r="AF33" i="7"/>
  <c r="AF87" i="7"/>
  <c r="AF6" i="7"/>
  <c r="AE29" i="7"/>
  <c r="AC38" i="7"/>
  <c r="AC55" i="7"/>
  <c r="AC40" i="7"/>
  <c r="AB23" i="8"/>
  <c r="AB6" i="8"/>
  <c r="AE4" i="8"/>
  <c r="AD63" i="8"/>
  <c r="AE32" i="7"/>
  <c r="AE36" i="7" s="1"/>
  <c r="AJ9" i="6"/>
  <c r="AJ7" i="6"/>
  <c r="AE9" i="8"/>
  <c r="AE26" i="8"/>
  <c r="P56" i="7"/>
  <c r="Q71" i="1"/>
  <c r="Q42" i="23" s="1"/>
  <c r="O72" i="23" l="1"/>
  <c r="O73" i="23"/>
  <c r="O66" i="23"/>
  <c r="P61" i="23"/>
  <c r="P62" i="23" s="1"/>
  <c r="N25" i="24"/>
  <c r="N30" i="24" s="1"/>
  <c r="N47" i="23"/>
  <c r="Q56" i="23"/>
  <c r="Q59" i="23" s="1"/>
  <c r="Q43" i="23"/>
  <c r="AG4" i="24"/>
  <c r="AG63" i="24" s="1"/>
  <c r="AF63" i="24"/>
  <c r="AC27" i="8"/>
  <c r="AE84" i="7"/>
  <c r="AE9" i="15" s="1"/>
  <c r="AE10" i="15" s="1"/>
  <c r="AD38" i="7"/>
  <c r="AA12" i="8"/>
  <c r="AA47" i="8" s="1"/>
  <c r="AA48" i="8" s="1"/>
  <c r="AA52" i="8"/>
  <c r="AA53" i="8" s="1"/>
  <c r="AA66" i="8"/>
  <c r="AA69" i="8" s="1"/>
  <c r="AC76" i="7"/>
  <c r="AC46" i="7" s="1"/>
  <c r="AC41" i="7"/>
  <c r="AE91" i="7"/>
  <c r="AD76" i="7"/>
  <c r="AD46" i="7" s="1"/>
  <c r="AD41" i="7"/>
  <c r="AD10" i="8"/>
  <c r="AD27" i="8"/>
  <c r="AE30" i="7"/>
  <c r="AE31" i="7" s="1"/>
  <c r="AD55" i="7"/>
  <c r="AF15" i="7"/>
  <c r="AF85" i="7" s="1"/>
  <c r="AF84" i="7" s="1"/>
  <c r="AE37" i="7"/>
  <c r="AC23" i="8"/>
  <c r="AC6" i="8"/>
  <c r="AF32" i="7"/>
  <c r="AF36" i="7" s="1"/>
  <c r="AD6" i="8"/>
  <c r="AD23" i="8"/>
  <c r="AG90" i="7"/>
  <c r="AG83" i="7"/>
  <c r="AG46" i="7"/>
  <c r="AG52" i="7"/>
  <c r="AG45" i="7"/>
  <c r="AF4" i="8"/>
  <c r="AE63" i="8"/>
  <c r="AF9" i="8"/>
  <c r="AF26" i="8"/>
  <c r="AB8" i="8"/>
  <c r="AB11" i="8" s="1"/>
  <c r="AB52" i="8" s="1"/>
  <c r="AB53" i="8" s="1"/>
  <c r="AF29" i="7"/>
  <c r="Q42" i="7"/>
  <c r="P71" i="1"/>
  <c r="R71" i="1" s="1"/>
  <c r="O75" i="23" l="1"/>
  <c r="O45" i="23" s="1"/>
  <c r="O25" i="24" s="1"/>
  <c r="O30" i="24" s="1"/>
  <c r="O31" i="24" s="1"/>
  <c r="N48" i="23"/>
  <c r="N13" i="25"/>
  <c r="O12" i="25" s="1"/>
  <c r="N31" i="24"/>
  <c r="N15" i="25"/>
  <c r="Q61" i="23"/>
  <c r="P71" i="23"/>
  <c r="P65" i="23"/>
  <c r="Q44" i="23"/>
  <c r="Q58" i="23"/>
  <c r="Q60" i="23" s="1"/>
  <c r="AF9" i="15"/>
  <c r="AF10" i="15" s="1"/>
  <c r="AF91" i="7"/>
  <c r="AG91" i="7"/>
  <c r="AG27" i="8" s="1"/>
  <c r="AG30" i="8" s="1"/>
  <c r="AG31" i="8" s="1"/>
  <c r="AE10" i="8"/>
  <c r="AE27" i="8"/>
  <c r="AD8" i="8"/>
  <c r="AD11" i="8" s="1"/>
  <c r="AE55" i="7"/>
  <c r="AE38" i="7"/>
  <c r="AF30" i="7"/>
  <c r="AF31" i="7" s="1"/>
  <c r="AE40" i="7"/>
  <c r="AF37" i="7"/>
  <c r="AF38" i="7" s="1"/>
  <c r="AB66" i="8"/>
  <c r="AB69" i="8" s="1"/>
  <c r="AB12" i="8"/>
  <c r="AB47" i="8" s="1"/>
  <c r="AB48" i="8" s="1"/>
  <c r="AC8" i="8"/>
  <c r="AC11" i="8" s="1"/>
  <c r="AC52" i="8" s="1"/>
  <c r="AC53" i="8" s="1"/>
  <c r="AG4" i="8"/>
  <c r="AG63" i="8" s="1"/>
  <c r="AF63" i="8"/>
  <c r="Q72" i="1"/>
  <c r="R42" i="23" s="1"/>
  <c r="Q56" i="7"/>
  <c r="O47" i="23" l="1"/>
  <c r="O13" i="25" s="1"/>
  <c r="P12" i="25" s="1"/>
  <c r="R56" i="23"/>
  <c r="R43" i="23"/>
  <c r="Q62" i="23"/>
  <c r="O15" i="25"/>
  <c r="P70" i="23"/>
  <c r="P67" i="23"/>
  <c r="P72" i="23" s="1"/>
  <c r="AG10" i="8"/>
  <c r="AG11" i="8" s="1"/>
  <c r="AG12" i="8" s="1"/>
  <c r="AD52" i="8"/>
  <c r="AD53" i="8" s="1"/>
  <c r="AD12" i="8"/>
  <c r="AD66" i="8"/>
  <c r="AD69" i="8" s="1"/>
  <c r="AE76" i="7"/>
  <c r="AE46" i="7" s="1"/>
  <c r="AE41" i="7"/>
  <c r="AE23" i="8"/>
  <c r="AE6" i="8"/>
  <c r="AF10" i="8"/>
  <c r="AF27" i="8"/>
  <c r="AC12" i="8"/>
  <c r="AC47" i="8" s="1"/>
  <c r="AC48" i="8" s="1"/>
  <c r="AC66" i="8"/>
  <c r="AC69" i="8" s="1"/>
  <c r="AF55" i="7"/>
  <c r="AF40" i="7"/>
  <c r="R42" i="7"/>
  <c r="P72" i="1"/>
  <c r="R72" i="1" s="1"/>
  <c r="O48" i="23" l="1"/>
  <c r="P73" i="23"/>
  <c r="P75" i="23" s="1"/>
  <c r="P45" i="23" s="1"/>
  <c r="P66" i="23"/>
  <c r="Q71" i="23"/>
  <c r="Q65" i="23"/>
  <c r="R59" i="23"/>
  <c r="R58" i="23"/>
  <c r="R44" i="23"/>
  <c r="AG66" i="8"/>
  <c r="AE8" i="8"/>
  <c r="AE11" i="8" s="1"/>
  <c r="AD47" i="8"/>
  <c r="AD48" i="8" s="1"/>
  <c r="AF76" i="7"/>
  <c r="AF41" i="7"/>
  <c r="AF6" i="8"/>
  <c r="AF46" i="7"/>
  <c r="AF23" i="8"/>
  <c r="Q73" i="1"/>
  <c r="S42" i="23" s="1"/>
  <c r="R56" i="7"/>
  <c r="R60" i="23" l="1"/>
  <c r="Q70" i="23"/>
  <c r="Q67" i="23"/>
  <c r="Q73" i="23" s="1"/>
  <c r="S56" i="23"/>
  <c r="S59" i="23" s="1"/>
  <c r="S43" i="23"/>
  <c r="P47" i="23"/>
  <c r="P25" i="24"/>
  <c r="P30" i="24" s="1"/>
  <c r="S58" i="23"/>
  <c r="R61" i="23"/>
  <c r="AE52" i="8"/>
  <c r="AE53" i="8" s="1"/>
  <c r="AE66" i="8"/>
  <c r="AE69" i="8" s="1"/>
  <c r="AE12" i="8"/>
  <c r="AF8" i="8"/>
  <c r="AF11" i="8" s="1"/>
  <c r="P73" i="1"/>
  <c r="R73" i="1" s="1"/>
  <c r="S42" i="7"/>
  <c r="R62" i="23" l="1"/>
  <c r="R71" i="23" s="1"/>
  <c r="S60" i="23"/>
  <c r="P31" i="24"/>
  <c r="P15" i="25"/>
  <c r="P48" i="23"/>
  <c r="P13" i="25"/>
  <c r="Q12" i="25" s="1"/>
  <c r="S44" i="23"/>
  <c r="Q66" i="23"/>
  <c r="Q72" i="23"/>
  <c r="Q75" i="23" s="1"/>
  <c r="Q45" i="23" s="1"/>
  <c r="AF52" i="8"/>
  <c r="AF53" i="8" s="1"/>
  <c r="AF12" i="8"/>
  <c r="AF47" i="8" s="1"/>
  <c r="AF48" i="8" s="1"/>
  <c r="AF66" i="8"/>
  <c r="AE47" i="8"/>
  <c r="AE48" i="8" s="1"/>
  <c r="AG52" i="8"/>
  <c r="AG53" i="8" s="1"/>
  <c r="S56" i="7"/>
  <c r="Q74" i="1"/>
  <c r="T42" i="23" s="1"/>
  <c r="S61" i="23" l="1"/>
  <c r="S62" i="23" s="1"/>
  <c r="R65" i="23"/>
  <c r="R70" i="23" s="1"/>
  <c r="T56" i="23"/>
  <c r="T43" i="23"/>
  <c r="Q25" i="24"/>
  <c r="Q30" i="24" s="1"/>
  <c r="Q31" i="24" s="1"/>
  <c r="Q47" i="23"/>
  <c r="AG47" i="8"/>
  <c r="AG48" i="8" s="1"/>
  <c r="P74" i="1"/>
  <c r="R74" i="1" s="1"/>
  <c r="T42" i="7"/>
  <c r="R67" i="23" l="1"/>
  <c r="R72" i="23" s="1"/>
  <c r="Q15" i="25"/>
  <c r="Q48" i="23"/>
  <c r="Q13" i="25"/>
  <c r="R12" i="25" s="1"/>
  <c r="T44" i="23"/>
  <c r="T59" i="23"/>
  <c r="T58" i="23"/>
  <c r="R73" i="23"/>
  <c r="R75" i="23" s="1"/>
  <c r="R45" i="23" s="1"/>
  <c r="S65" i="23"/>
  <c r="S71" i="23"/>
  <c r="T61" i="23"/>
  <c r="R66" i="23"/>
  <c r="T56" i="7"/>
  <c r="Q75" i="1"/>
  <c r="U42" i="23" s="1"/>
  <c r="T60" i="23" l="1"/>
  <c r="T62" i="23" s="1"/>
  <c r="T65" i="23" s="1"/>
  <c r="T70" i="23" s="1"/>
  <c r="R25" i="24"/>
  <c r="R30" i="24" s="1"/>
  <c r="R47" i="23"/>
  <c r="S70" i="23"/>
  <c r="S67" i="23"/>
  <c r="S73" i="23" s="1"/>
  <c r="U56" i="23"/>
  <c r="U59" i="23" s="1"/>
  <c r="U43" i="23"/>
  <c r="P75" i="1"/>
  <c r="R75" i="1" s="1"/>
  <c r="U42" i="7"/>
  <c r="T71" i="23" l="1"/>
  <c r="U58" i="23"/>
  <c r="U60" i="23" s="1"/>
  <c r="U44" i="23"/>
  <c r="S66" i="23"/>
  <c r="S72" i="23"/>
  <c r="S75" i="23" s="1"/>
  <c r="S45" i="23" s="1"/>
  <c r="R48" i="23"/>
  <c r="R13" i="25"/>
  <c r="S12" i="25" s="1"/>
  <c r="R31" i="24"/>
  <c r="R15" i="25"/>
  <c r="U61" i="23"/>
  <c r="Q76" i="1"/>
  <c r="V42" i="23" s="1"/>
  <c r="U56" i="7"/>
  <c r="T67" i="23" l="1"/>
  <c r="T66" i="23" s="1"/>
  <c r="V56" i="23"/>
  <c r="V43" i="23"/>
  <c r="S25" i="24"/>
  <c r="S30" i="24" s="1"/>
  <c r="S47" i="23"/>
  <c r="U62" i="23"/>
  <c r="V42" i="7"/>
  <c r="P76" i="1"/>
  <c r="R76" i="1" s="1"/>
  <c r="S31" i="24" l="1"/>
  <c r="U71" i="23"/>
  <c r="U65" i="23"/>
  <c r="S15" i="25"/>
  <c r="V59" i="23"/>
  <c r="V61" i="23" s="1"/>
  <c r="V58" i="23"/>
  <c r="S48" i="23"/>
  <c r="S13" i="25"/>
  <c r="T12" i="25" s="1"/>
  <c r="V44" i="23"/>
  <c r="T72" i="23"/>
  <c r="T73" i="23"/>
  <c r="Q77" i="1"/>
  <c r="W42" i="23" s="1"/>
  <c r="V56" i="7"/>
  <c r="V60" i="23" l="1"/>
  <c r="V62" i="23" s="1"/>
  <c r="V71" i="23" s="1"/>
  <c r="U70" i="23"/>
  <c r="U67" i="23"/>
  <c r="U73" i="23" s="1"/>
  <c r="W56" i="23"/>
  <c r="W59" i="23" s="1"/>
  <c r="W43" i="23"/>
  <c r="T75" i="23"/>
  <c r="T45" i="23" s="1"/>
  <c r="W58" i="23"/>
  <c r="W60" i="23" s="1"/>
  <c r="W42" i="7"/>
  <c r="P77" i="1"/>
  <c r="R77" i="1" s="1"/>
  <c r="V65" i="23" l="1"/>
  <c r="V70" i="23" s="1"/>
  <c r="W61" i="23"/>
  <c r="W62" i="23" s="1"/>
  <c r="W65" i="23" s="1"/>
  <c r="U66" i="23"/>
  <c r="U72" i="23"/>
  <c r="U75" i="23" s="1"/>
  <c r="U45" i="23" s="1"/>
  <c r="T25" i="24"/>
  <c r="T30" i="24" s="1"/>
  <c r="T47" i="23"/>
  <c r="W44" i="23"/>
  <c r="Q78" i="1"/>
  <c r="X42" i="23" s="1"/>
  <c r="W56" i="7"/>
  <c r="W43" i="7"/>
  <c r="V67" i="23" l="1"/>
  <c r="V72" i="23" s="1"/>
  <c r="U25" i="24"/>
  <c r="U30" i="24" s="1"/>
  <c r="U31" i="24" s="1"/>
  <c r="U47" i="23"/>
  <c r="W70" i="23"/>
  <c r="T31" i="24"/>
  <c r="T15" i="25"/>
  <c r="X56" i="23"/>
  <c r="X43" i="23"/>
  <c r="W71" i="23"/>
  <c r="T48" i="23"/>
  <c r="T13" i="25"/>
  <c r="U12" i="25" s="1"/>
  <c r="W44" i="7"/>
  <c r="X42" i="7"/>
  <c r="P78" i="1"/>
  <c r="R78" i="1" s="1"/>
  <c r="U15" i="25" l="1"/>
  <c r="V73" i="23"/>
  <c r="V75" i="23" s="1"/>
  <c r="V45" i="23" s="1"/>
  <c r="V25" i="24" s="1"/>
  <c r="V30" i="24" s="1"/>
  <c r="V66" i="23"/>
  <c r="X59" i="23"/>
  <c r="X58" i="23"/>
  <c r="U48" i="23"/>
  <c r="U13" i="25"/>
  <c r="V12" i="25" s="1"/>
  <c r="X44" i="23"/>
  <c r="Q79" i="1"/>
  <c r="Y42" i="23" s="1"/>
  <c r="X56" i="7"/>
  <c r="X43" i="7"/>
  <c r="V47" i="23" l="1"/>
  <c r="V48" i="23" s="1"/>
  <c r="W67" i="23"/>
  <c r="W66" i="23" s="1"/>
  <c r="X60" i="23"/>
  <c r="Y56" i="23"/>
  <c r="Y59" i="23" s="1"/>
  <c r="Y43" i="23"/>
  <c r="V31" i="24"/>
  <c r="V15" i="25"/>
  <c r="Y58" i="23"/>
  <c r="X61" i="23"/>
  <c r="X62" i="23" s="1"/>
  <c r="P79" i="1"/>
  <c r="R79" i="1" s="1"/>
  <c r="Y42" i="7"/>
  <c r="X44" i="7"/>
  <c r="V13" i="25" l="1"/>
  <c r="W12" i="25" s="1"/>
  <c r="Y60" i="23"/>
  <c r="W72" i="23"/>
  <c r="W73" i="23"/>
  <c r="X71" i="23"/>
  <c r="Y61" i="23"/>
  <c r="X65" i="23"/>
  <c r="Y44" i="23"/>
  <c r="Q80" i="1"/>
  <c r="Z42" i="23" s="1"/>
  <c r="Y56" i="7"/>
  <c r="Y43" i="7"/>
  <c r="Y62" i="23" l="1"/>
  <c r="Y65" i="23" s="1"/>
  <c r="Y70" i="23" s="1"/>
  <c r="W75" i="23"/>
  <c r="W45" i="23" s="1"/>
  <c r="X70" i="23"/>
  <c r="X67" i="23"/>
  <c r="X73" i="23" s="1"/>
  <c r="Z56" i="23"/>
  <c r="Z43" i="23"/>
  <c r="P80" i="1"/>
  <c r="R80" i="1" s="1"/>
  <c r="Z42" i="7"/>
  <c r="Y44" i="7"/>
  <c r="Y71" i="23" l="1"/>
  <c r="W25" i="24"/>
  <c r="W30" i="24" s="1"/>
  <c r="W47" i="23"/>
  <c r="Z47" i="23"/>
  <c r="Z59" i="23"/>
  <c r="Z58" i="23"/>
  <c r="X66" i="23"/>
  <c r="X72" i="23"/>
  <c r="X75" i="23" s="1"/>
  <c r="X45" i="23" s="1"/>
  <c r="Z56" i="7"/>
  <c r="Z43" i="7"/>
  <c r="Q81" i="1"/>
  <c r="AA42" i="23" s="1"/>
  <c r="W31" i="24" l="1"/>
  <c r="W15" i="25"/>
  <c r="W48" i="23"/>
  <c r="W13" i="25"/>
  <c r="X12" i="25" s="1"/>
  <c r="X25" i="24"/>
  <c r="X30" i="24" s="1"/>
  <c r="X47" i="23"/>
  <c r="Y67" i="23"/>
  <c r="Y66" i="23" s="1"/>
  <c r="AA56" i="23"/>
  <c r="AA59" i="23" s="1"/>
  <c r="AA43" i="23"/>
  <c r="AA58" i="23"/>
  <c r="Z61" i="23"/>
  <c r="Z60" i="23"/>
  <c r="Z44" i="7"/>
  <c r="P81" i="1"/>
  <c r="R81" i="1" s="1"/>
  <c r="AA42" i="7"/>
  <c r="AA60" i="23" l="1"/>
  <c r="Z62" i="23"/>
  <c r="Z71" i="23" s="1"/>
  <c r="Y72" i="23"/>
  <c r="Y73" i="23"/>
  <c r="AA47" i="23"/>
  <c r="X48" i="23"/>
  <c r="X13" i="25"/>
  <c r="X31" i="24"/>
  <c r="X15" i="25"/>
  <c r="Q82" i="1"/>
  <c r="AB42" i="23" s="1"/>
  <c r="AA56" i="7"/>
  <c r="AA43" i="7"/>
  <c r="Z65" i="23" l="1"/>
  <c r="Z70" i="23" s="1"/>
  <c r="AA61" i="23"/>
  <c r="AA62" i="23" s="1"/>
  <c r="AA71" i="23" s="1"/>
  <c r="Y12" i="25"/>
  <c r="AB56" i="23"/>
  <c r="AB43" i="23"/>
  <c r="Y75" i="23"/>
  <c r="Y45" i="23" s="1"/>
  <c r="AB42" i="7"/>
  <c r="P82" i="1"/>
  <c r="R82" i="1" s="1"/>
  <c r="AA44" i="7"/>
  <c r="Z66" i="23" l="1"/>
  <c r="Z67" i="23"/>
  <c r="Z72" i="23" s="1"/>
  <c r="AA65" i="23"/>
  <c r="AA70" i="23" s="1"/>
  <c r="Z73" i="23"/>
  <c r="Y25" i="24"/>
  <c r="Y30" i="24" s="1"/>
  <c r="Y47" i="23"/>
  <c r="AB47" i="23"/>
  <c r="AB59" i="23"/>
  <c r="AB58" i="23"/>
  <c r="Q83" i="1"/>
  <c r="AC42" i="23" s="1"/>
  <c r="AB56" i="7"/>
  <c r="AB43" i="7"/>
  <c r="AA67" i="23" l="1"/>
  <c r="AA72" i="23" s="1"/>
  <c r="AA73" i="23"/>
  <c r="AB60" i="23"/>
  <c r="AA66" i="23"/>
  <c r="Z75" i="23"/>
  <c r="AC56" i="23"/>
  <c r="AC59" i="23" s="1"/>
  <c r="AC43" i="23"/>
  <c r="Y13" i="25"/>
  <c r="Y48" i="23"/>
  <c r="AC58" i="23"/>
  <c r="AB61" i="23"/>
  <c r="AB62" i="23" s="1"/>
  <c r="Y31" i="24"/>
  <c r="C34" i="24"/>
  <c r="J16" i="1" s="1"/>
  <c r="C35" i="24"/>
  <c r="J17" i="1" s="1"/>
  <c r="Y15" i="25"/>
  <c r="AC42" i="7"/>
  <c r="P83" i="1"/>
  <c r="R83" i="1" s="1"/>
  <c r="AB44" i="7"/>
  <c r="AA75" i="23" l="1"/>
  <c r="AC60" i="23"/>
  <c r="AB71" i="23"/>
  <c r="AC61" i="23"/>
  <c r="AB65" i="23"/>
  <c r="AC47" i="23"/>
  <c r="Q84" i="1"/>
  <c r="AD42" i="23" s="1"/>
  <c r="AC56" i="7"/>
  <c r="AC43" i="7"/>
  <c r="Z12" i="15"/>
  <c r="AC62" i="23" l="1"/>
  <c r="AC71" i="23" s="1"/>
  <c r="AD56" i="23"/>
  <c r="AD43" i="23"/>
  <c r="AB67" i="23"/>
  <c r="AB72" i="23" s="1"/>
  <c r="AB70" i="23"/>
  <c r="AB73" i="23"/>
  <c r="AB66" i="23"/>
  <c r="Z15" i="15"/>
  <c r="AD42" i="7"/>
  <c r="P84" i="1"/>
  <c r="R84" i="1" s="1"/>
  <c r="AC44" i="7"/>
  <c r="Z48" i="7"/>
  <c r="AC65" i="23" l="1"/>
  <c r="AC66" i="23" s="1"/>
  <c r="AD59" i="23"/>
  <c r="AD58" i="23"/>
  <c r="AD47" i="23"/>
  <c r="AB75" i="23"/>
  <c r="AD56" i="7"/>
  <c r="AD43" i="7"/>
  <c r="Q85" i="1"/>
  <c r="AE42" i="23" s="1"/>
  <c r="AC67" i="23" l="1"/>
  <c r="AC72" i="23" s="1"/>
  <c r="AC73" i="23"/>
  <c r="AC70" i="23"/>
  <c r="AD60" i="23"/>
  <c r="AE56" i="23"/>
  <c r="AE59" i="23" s="1"/>
  <c r="AE43" i="23"/>
  <c r="AE58" i="23"/>
  <c r="AD61" i="23"/>
  <c r="P85" i="1"/>
  <c r="AE42" i="7"/>
  <c r="AD44" i="7"/>
  <c r="AC75" i="23" l="1"/>
  <c r="AE60" i="23"/>
  <c r="AD62" i="23"/>
  <c r="AD71" i="23" s="1"/>
  <c r="AE47" i="23"/>
  <c r="AA48" i="7"/>
  <c r="AA13" i="15"/>
  <c r="AB12" i="15" s="1"/>
  <c r="AF69" i="8"/>
  <c r="R85" i="1"/>
  <c r="AE56" i="7"/>
  <c r="AE43" i="7"/>
  <c r="AD65" i="23" l="1"/>
  <c r="AD67" i="23" s="1"/>
  <c r="AD72" i="23" s="1"/>
  <c r="AE61" i="23"/>
  <c r="AE62" i="23" s="1"/>
  <c r="AE65" i="23" s="1"/>
  <c r="AE70" i="23" s="1"/>
  <c r="AB25" i="8"/>
  <c r="AB30" i="8" s="1"/>
  <c r="AB15" i="15" s="1"/>
  <c r="AE44" i="7"/>
  <c r="Q86" i="1"/>
  <c r="AF42" i="23" s="1"/>
  <c r="AB48" i="7"/>
  <c r="AB13" i="15"/>
  <c r="AC12" i="15" s="1"/>
  <c r="AD66" i="23" l="1"/>
  <c r="AE66" i="23" s="1"/>
  <c r="AD70" i="23"/>
  <c r="AD73" i="23"/>
  <c r="AE71" i="23"/>
  <c r="AE73" i="23"/>
  <c r="AE67" i="23"/>
  <c r="AE72" i="23" s="1"/>
  <c r="AF56" i="23"/>
  <c r="AF43" i="23"/>
  <c r="AB31" i="8"/>
  <c r="P86" i="1"/>
  <c r="R86" i="1" s="1"/>
  <c r="C14" i="25" s="1" a="1"/>
  <c r="AF42" i="7"/>
  <c r="AD75" i="23" l="1"/>
  <c r="AE75" i="23"/>
  <c r="C14" i="25"/>
  <c r="C16" i="25" s="1"/>
  <c r="C17" i="25" s="1"/>
  <c r="C23" i="25" s="1"/>
  <c r="Z16" i="25"/>
  <c r="Z17" i="25" s="1"/>
  <c r="AA16" i="25"/>
  <c r="AA17" i="25" s="1"/>
  <c r="AB16" i="25"/>
  <c r="AB17" i="25" s="1"/>
  <c r="AC16" i="25"/>
  <c r="AC17" i="25" s="1"/>
  <c r="AD16" i="25"/>
  <c r="AD17" i="25" s="1"/>
  <c r="AE16" i="25"/>
  <c r="AE17" i="25" s="1"/>
  <c r="AF16" i="25"/>
  <c r="AF17" i="25" s="1"/>
  <c r="D16" i="25"/>
  <c r="D17" i="25" s="1"/>
  <c r="D23" i="25" s="1"/>
  <c r="E16" i="25"/>
  <c r="E17" i="25" s="1"/>
  <c r="E23" i="25" s="1"/>
  <c r="F16" i="25"/>
  <c r="F17" i="25" s="1"/>
  <c r="F23" i="25" s="1"/>
  <c r="G16" i="25"/>
  <c r="G17" i="25" s="1"/>
  <c r="G23" i="25" s="1"/>
  <c r="H16" i="25"/>
  <c r="H17" i="25" s="1"/>
  <c r="H23" i="25" s="1"/>
  <c r="I16" i="25"/>
  <c r="I17" i="25" s="1"/>
  <c r="I23" i="25" s="1"/>
  <c r="K16" i="25"/>
  <c r="K17" i="25" s="1"/>
  <c r="K23" i="25" s="1"/>
  <c r="L16" i="25"/>
  <c r="L17" i="25" s="1"/>
  <c r="L23" i="25" s="1"/>
  <c r="J16" i="25"/>
  <c r="J17" i="25" s="1"/>
  <c r="J23" i="25" s="1"/>
  <c r="M16" i="25"/>
  <c r="M17" i="25" s="1"/>
  <c r="M23" i="25" s="1"/>
  <c r="N16" i="25"/>
  <c r="N17" i="25" s="1"/>
  <c r="N23" i="25" s="1"/>
  <c r="O16" i="25"/>
  <c r="O17" i="25" s="1"/>
  <c r="O23" i="25" s="1"/>
  <c r="P16" i="25"/>
  <c r="P17" i="25" s="1"/>
  <c r="P23" i="25" s="1"/>
  <c r="Q16" i="25"/>
  <c r="Q17" i="25" s="1"/>
  <c r="Q23" i="25" s="1"/>
  <c r="R16" i="25"/>
  <c r="R17" i="25" s="1"/>
  <c r="R23" i="25" s="1"/>
  <c r="S16" i="25"/>
  <c r="S17" i="25" s="1"/>
  <c r="S23" i="25" s="1"/>
  <c r="T16" i="25"/>
  <c r="T17" i="25" s="1"/>
  <c r="T23" i="25" s="1"/>
  <c r="V16" i="25"/>
  <c r="V17" i="25" s="1"/>
  <c r="V23" i="25" s="1"/>
  <c r="W16" i="25"/>
  <c r="W17" i="25" s="1"/>
  <c r="W23" i="25" s="1"/>
  <c r="U16" i="25"/>
  <c r="U17" i="25" s="1"/>
  <c r="U23" i="25" s="1"/>
  <c r="X16" i="25"/>
  <c r="X17" i="25" s="1"/>
  <c r="X23" i="25" s="1"/>
  <c r="Y16" i="25"/>
  <c r="Y17" i="25" s="1"/>
  <c r="Y23" i="25" s="1"/>
  <c r="AF47" i="23"/>
  <c r="AF59" i="23"/>
  <c r="AF58" i="23"/>
  <c r="AF56" i="7"/>
  <c r="AF43" i="7"/>
  <c r="C14" i="15" a="1"/>
  <c r="AC15" i="15"/>
  <c r="AF60" i="23" l="1"/>
  <c r="AG58" i="23"/>
  <c r="AG59" i="23"/>
  <c r="AF61" i="23"/>
  <c r="AC13" i="15"/>
  <c r="AD12" i="15" s="1"/>
  <c r="AD15" i="15"/>
  <c r="AD16" i="15" s="1"/>
  <c r="AF44" i="7"/>
  <c r="C14" i="15"/>
  <c r="Z16" i="15"/>
  <c r="AB16" i="15"/>
  <c r="AB17" i="15" s="1"/>
  <c r="AC16" i="15"/>
  <c r="AF62" i="23" l="1"/>
  <c r="AF71" i="23" s="1"/>
  <c r="AG60" i="23"/>
  <c r="AC17" i="15"/>
  <c r="AD48" i="7"/>
  <c r="AD13" i="15"/>
  <c r="AD17" i="15" s="1"/>
  <c r="AE12" i="15"/>
  <c r="AF65" i="23" l="1"/>
  <c r="AF67" i="23" s="1"/>
  <c r="AF72" i="23" s="1"/>
  <c r="AG61" i="23"/>
  <c r="AG62" i="23" s="1"/>
  <c r="AE15" i="15"/>
  <c r="AF66" i="23" l="1"/>
  <c r="AF70" i="23"/>
  <c r="AF73" i="23"/>
  <c r="AG65" i="23"/>
  <c r="AG71" i="23"/>
  <c r="AE13" i="15"/>
  <c r="AF12" i="15" s="1"/>
  <c r="AE16" i="15"/>
  <c r="AF75" i="23" l="1"/>
  <c r="AG67" i="23"/>
  <c r="AG72" i="23" s="1"/>
  <c r="AG66" i="23"/>
  <c r="AG73" i="23"/>
  <c r="AG70" i="23"/>
  <c r="AE17" i="15"/>
  <c r="AF25" i="8"/>
  <c r="AF30" i="8" s="1"/>
  <c r="AG75" i="23" l="1"/>
  <c r="AF31" i="8"/>
  <c r="AF15" i="15"/>
  <c r="AF16" i="15" s="1"/>
  <c r="AF48" i="7"/>
  <c r="AF13" i="15"/>
  <c r="AF17" i="15" l="1"/>
  <c r="AF45" i="7"/>
  <c r="AF47" i="7" s="1"/>
  <c r="AE25" i="8"/>
  <c r="AE30" i="8" s="1"/>
  <c r="AE31" i="8" s="1"/>
  <c r="AE48" i="7"/>
  <c r="AE45" i="7"/>
  <c r="AE47" i="7" s="1"/>
  <c r="Z13" i="15"/>
  <c r="Z17" i="15" s="1"/>
  <c r="AA12" i="15"/>
  <c r="AD25" i="8"/>
  <c r="AD30" i="8" s="1"/>
  <c r="AD31" i="8" s="1"/>
  <c r="AD45" i="7"/>
  <c r="AD47" i="7" s="1"/>
  <c r="AA15" i="15"/>
  <c r="AA16" i="15" s="1"/>
  <c r="AC25" i="8"/>
  <c r="AC30" i="8" s="1"/>
  <c r="AC31" i="8" s="1"/>
  <c r="AC48" i="7"/>
  <c r="AC45" i="7"/>
  <c r="AC47" i="7" s="1"/>
  <c r="AB45" i="7"/>
  <c r="AB47" i="7" s="1"/>
  <c r="AA25" i="8"/>
  <c r="AA30" i="8" s="1"/>
  <c r="AA31" i="8" s="1"/>
  <c r="AA45" i="7"/>
  <c r="AA47" i="7" s="1"/>
  <c r="Z25" i="8"/>
  <c r="Z30" i="8" s="1"/>
  <c r="Z31" i="8" s="1"/>
  <c r="Z45" i="7"/>
  <c r="Z47" i="7" s="1"/>
  <c r="C6" i="7"/>
  <c r="C15" i="7"/>
  <c r="AA17" i="15" l="1"/>
  <c r="D6" i="7"/>
  <c r="D15" i="7"/>
  <c r="C85" i="7"/>
  <c r="C84" i="7" s="1"/>
  <c r="C30" i="7"/>
  <c r="C31" i="7" s="1"/>
  <c r="C37" i="7"/>
  <c r="C38" i="7" l="1"/>
  <c r="C40" i="7"/>
  <c r="C55" i="7"/>
  <c r="D85" i="7"/>
  <c r="D84" i="7" s="1"/>
  <c r="D37" i="7"/>
  <c r="D30" i="7"/>
  <c r="D31" i="7" s="1"/>
  <c r="C9" i="15"/>
  <c r="C10" i="15" s="1"/>
  <c r="C91" i="7"/>
  <c r="E15" i="7"/>
  <c r="E6" i="7"/>
  <c r="C27" i="8" l="1"/>
  <c r="C10" i="8"/>
  <c r="D55" i="7"/>
  <c r="D40" i="7"/>
  <c r="D38" i="7"/>
  <c r="F6" i="7"/>
  <c r="F15" i="7"/>
  <c r="D91" i="7"/>
  <c r="D9" i="15"/>
  <c r="D10" i="15" s="1"/>
  <c r="C58" i="7"/>
  <c r="C59" i="7"/>
  <c r="C41" i="7"/>
  <c r="C76" i="7"/>
  <c r="C46" i="7" s="1"/>
  <c r="C23" i="8"/>
  <c r="C43" i="7"/>
  <c r="C6" i="8"/>
  <c r="E37" i="7"/>
  <c r="E85" i="7"/>
  <c r="E84" i="7" s="1"/>
  <c r="E30" i="7"/>
  <c r="E31" i="7" s="1"/>
  <c r="C44" i="7" l="1"/>
  <c r="F30" i="7"/>
  <c r="F31" i="7" s="1"/>
  <c r="F85" i="7"/>
  <c r="F84" i="7" s="1"/>
  <c r="F37" i="7"/>
  <c r="D41" i="7"/>
  <c r="D76" i="7"/>
  <c r="D46" i="7" s="1"/>
  <c r="D43" i="7"/>
  <c r="D6" i="8"/>
  <c r="D23" i="8"/>
  <c r="E91" i="7"/>
  <c r="E9" i="15"/>
  <c r="E10" i="15" s="1"/>
  <c r="C60" i="7"/>
  <c r="C62" i="7" s="1"/>
  <c r="E38" i="7"/>
  <c r="E55" i="7"/>
  <c r="E40" i="7"/>
  <c r="G6" i="7"/>
  <c r="G15" i="7"/>
  <c r="D58" i="7"/>
  <c r="D59" i="7"/>
  <c r="C8" i="8"/>
  <c r="C11" i="8" s="1"/>
  <c r="D10" i="8"/>
  <c r="D27" i="8"/>
  <c r="C52" i="8" l="1"/>
  <c r="C53" i="8" s="1"/>
  <c r="C66" i="8"/>
  <c r="C12" i="8"/>
  <c r="D60" i="7"/>
  <c r="D61" i="7"/>
  <c r="C71" i="7"/>
  <c r="F55" i="7"/>
  <c r="F38" i="7"/>
  <c r="F40" i="7"/>
  <c r="H6" i="7"/>
  <c r="H15" i="7"/>
  <c r="D8" i="8"/>
  <c r="D11" i="8" s="1"/>
  <c r="F9" i="15"/>
  <c r="F10" i="15" s="1"/>
  <c r="F91" i="7"/>
  <c r="G85" i="7"/>
  <c r="G84" i="7" s="1"/>
  <c r="G37" i="7"/>
  <c r="G30" i="7"/>
  <c r="G31" i="7" s="1"/>
  <c r="E23" i="8"/>
  <c r="E76" i="7"/>
  <c r="E46" i="7" s="1"/>
  <c r="E6" i="8"/>
  <c r="E43" i="7"/>
  <c r="E41" i="7"/>
  <c r="D44" i="7"/>
  <c r="C65" i="7"/>
  <c r="E58" i="7"/>
  <c r="E59" i="7"/>
  <c r="E10" i="8"/>
  <c r="E27" i="8"/>
  <c r="E60" i="7" l="1"/>
  <c r="D12" i="8"/>
  <c r="D47" i="8" s="1"/>
  <c r="D48" i="8" s="1"/>
  <c r="D66" i="8"/>
  <c r="D69" i="8" s="1"/>
  <c r="D52" i="8"/>
  <c r="D53" i="8" s="1"/>
  <c r="C69" i="8"/>
  <c r="G38" i="7"/>
  <c r="G55" i="7"/>
  <c r="G40" i="7"/>
  <c r="G91" i="7"/>
  <c r="G9" i="15"/>
  <c r="G10" i="15" s="1"/>
  <c r="C70" i="7"/>
  <c r="C66" i="7"/>
  <c r="C73" i="7"/>
  <c r="F27" i="8"/>
  <c r="F10" i="8"/>
  <c r="E44" i="7"/>
  <c r="F58" i="7"/>
  <c r="F59" i="7"/>
  <c r="E8" i="8"/>
  <c r="E11" i="8" s="1"/>
  <c r="D62" i="7"/>
  <c r="I15" i="7"/>
  <c r="I6" i="7"/>
  <c r="H85" i="7"/>
  <c r="H84" i="7" s="1"/>
  <c r="H30" i="7"/>
  <c r="H31" i="7" s="1"/>
  <c r="H37" i="7"/>
  <c r="F76" i="7"/>
  <c r="F46" i="7" s="1"/>
  <c r="F6" i="8"/>
  <c r="F23" i="8"/>
  <c r="F43" i="7"/>
  <c r="F41" i="7"/>
  <c r="C47" i="8"/>
  <c r="C48" i="8" s="1"/>
  <c r="E66" i="8" l="1"/>
  <c r="E12" i="8"/>
  <c r="E52" i="8"/>
  <c r="E53" i="8" s="1"/>
  <c r="I30" i="7"/>
  <c r="I31" i="7" s="1"/>
  <c r="I85" i="7"/>
  <c r="I84" i="7" s="1"/>
  <c r="I37" i="7"/>
  <c r="D71" i="7"/>
  <c r="D65" i="7"/>
  <c r="E61" i="7"/>
  <c r="E62" i="7" s="1"/>
  <c r="G41" i="7"/>
  <c r="G76" i="7"/>
  <c r="G46" i="7" s="1"/>
  <c r="G23" i="8"/>
  <c r="G6" i="8"/>
  <c r="G43" i="7"/>
  <c r="F8" i="8"/>
  <c r="F11" i="8" s="1"/>
  <c r="G58" i="7"/>
  <c r="G59" i="7"/>
  <c r="G27" i="8"/>
  <c r="G10" i="8"/>
  <c r="H55" i="7"/>
  <c r="H38" i="7"/>
  <c r="H40" i="7"/>
  <c r="H9" i="15"/>
  <c r="H10" i="15" s="1"/>
  <c r="H91" i="7"/>
  <c r="F60" i="7"/>
  <c r="F44" i="7"/>
  <c r="J6" i="7"/>
  <c r="J15" i="7"/>
  <c r="C75" i="7"/>
  <c r="C45" i="7" s="1"/>
  <c r="G60" i="7" l="1"/>
  <c r="G8" i="8"/>
  <c r="G11" i="8" s="1"/>
  <c r="F12" i="8"/>
  <c r="F66" i="8"/>
  <c r="F69" i="8" s="1"/>
  <c r="C25" i="8"/>
  <c r="C30" i="8" s="1"/>
  <c r="C47" i="7"/>
  <c r="J30" i="7"/>
  <c r="J31" i="7" s="1"/>
  <c r="J85" i="7"/>
  <c r="J84" i="7" s="1"/>
  <c r="J37" i="7"/>
  <c r="F52" i="8"/>
  <c r="F53" i="8" s="1"/>
  <c r="H6" i="8"/>
  <c r="H23" i="8"/>
  <c r="H76" i="7"/>
  <c r="H46" i="7" s="1"/>
  <c r="H43" i="7"/>
  <c r="H41" i="7"/>
  <c r="G44" i="7"/>
  <c r="E71" i="7"/>
  <c r="E65" i="7"/>
  <c r="K6" i="7"/>
  <c r="K15" i="7"/>
  <c r="H27" i="8"/>
  <c r="H10" i="8"/>
  <c r="H58" i="7"/>
  <c r="H59" i="7"/>
  <c r="I55" i="7"/>
  <c r="I38" i="7"/>
  <c r="I40" i="7"/>
  <c r="E47" i="8"/>
  <c r="E48" i="8" s="1"/>
  <c r="D67" i="7"/>
  <c r="D72" i="7" s="1"/>
  <c r="D70" i="7"/>
  <c r="F61" i="7"/>
  <c r="F62" i="7" s="1"/>
  <c r="I91" i="7"/>
  <c r="I9" i="15"/>
  <c r="I10" i="15" s="1"/>
  <c r="E69" i="8"/>
  <c r="C11" i="15" l="1"/>
  <c r="C15" i="15" s="1"/>
  <c r="H60" i="7"/>
  <c r="D66" i="7"/>
  <c r="E67" i="7" s="1"/>
  <c r="E72" i="7" s="1"/>
  <c r="D73" i="7"/>
  <c r="D75" i="7" s="1"/>
  <c r="D45" i="7" s="1"/>
  <c r="F71" i="7"/>
  <c r="F65" i="7"/>
  <c r="G61" i="7"/>
  <c r="G62" i="7" s="1"/>
  <c r="H61" i="7" s="1"/>
  <c r="I41" i="7"/>
  <c r="I6" i="8"/>
  <c r="I76" i="7"/>
  <c r="I46" i="7" s="1"/>
  <c r="I23" i="8"/>
  <c r="I43" i="7"/>
  <c r="C31" i="8"/>
  <c r="J91" i="7"/>
  <c r="J9" i="15"/>
  <c r="J10" i="15" s="1"/>
  <c r="F47" i="8"/>
  <c r="F48" i="8" s="1"/>
  <c r="L6" i="7"/>
  <c r="L15" i="7"/>
  <c r="H8" i="8"/>
  <c r="H11" i="8" s="1"/>
  <c r="H52" i="8" s="1"/>
  <c r="H53" i="8" s="1"/>
  <c r="K30" i="7"/>
  <c r="K31" i="7" s="1"/>
  <c r="K85" i="7"/>
  <c r="K84" i="7" s="1"/>
  <c r="K37" i="7"/>
  <c r="G12" i="8"/>
  <c r="G66" i="8"/>
  <c r="I58" i="7"/>
  <c r="I59" i="7"/>
  <c r="G52" i="8"/>
  <c r="G53" i="8" s="1"/>
  <c r="E70" i="7"/>
  <c r="J55" i="7"/>
  <c r="J38" i="7"/>
  <c r="J40" i="7"/>
  <c r="I27" i="8"/>
  <c r="I10" i="8"/>
  <c r="H44" i="7"/>
  <c r="C48" i="7"/>
  <c r="C13" i="15"/>
  <c r="H62" i="7" l="1"/>
  <c r="H71" i="7" s="1"/>
  <c r="E73" i="7"/>
  <c r="E75" i="7" s="1"/>
  <c r="E45" i="7" s="1"/>
  <c r="J58" i="7"/>
  <c r="J59" i="7"/>
  <c r="I60" i="7"/>
  <c r="G47" i="8"/>
  <c r="G48" i="8" s="1"/>
  <c r="K38" i="7"/>
  <c r="K55" i="7"/>
  <c r="K40" i="7"/>
  <c r="D25" i="8"/>
  <c r="D30" i="8" s="1"/>
  <c r="D15" i="15" s="1"/>
  <c r="D16" i="15" s="1"/>
  <c r="D47" i="7"/>
  <c r="I44" i="7"/>
  <c r="J76" i="7"/>
  <c r="J46" i="7" s="1"/>
  <c r="J6" i="8"/>
  <c r="J41" i="7"/>
  <c r="J43" i="7"/>
  <c r="J23" i="8"/>
  <c r="H12" i="8"/>
  <c r="H47" i="8" s="1"/>
  <c r="H48" i="8" s="1"/>
  <c r="H66" i="8"/>
  <c r="H69" i="8" s="1"/>
  <c r="F70" i="7"/>
  <c r="J27" i="8"/>
  <c r="J10" i="8"/>
  <c r="D12" i="15"/>
  <c r="E66" i="7"/>
  <c r="F67" i="7" s="1"/>
  <c r="L85" i="7"/>
  <c r="L84" i="7" s="1"/>
  <c r="L30" i="7"/>
  <c r="L31" i="7" s="1"/>
  <c r="L37" i="7"/>
  <c r="I8" i="8"/>
  <c r="I11" i="8" s="1"/>
  <c r="G71" i="7"/>
  <c r="G65" i="7"/>
  <c r="C16" i="15"/>
  <c r="K91" i="7"/>
  <c r="K9" i="15"/>
  <c r="K10" i="15" s="1"/>
  <c r="M6" i="7"/>
  <c r="M15" i="7"/>
  <c r="G69" i="8"/>
  <c r="I61" i="7" l="1"/>
  <c r="I62" i="7" s="1"/>
  <c r="C17" i="15"/>
  <c r="C23" i="15" s="1"/>
  <c r="H65" i="7"/>
  <c r="H70" i="7" s="1"/>
  <c r="F72" i="7"/>
  <c r="F73" i="7"/>
  <c r="F66" i="7"/>
  <c r="G67" i="7" s="1"/>
  <c r="G72" i="7" s="1"/>
  <c r="L91" i="7"/>
  <c r="L9" i="15"/>
  <c r="L10" i="15" s="1"/>
  <c r="G70" i="7"/>
  <c r="M30" i="7"/>
  <c r="M31" i="7" s="1"/>
  <c r="M37" i="7"/>
  <c r="M85" i="7"/>
  <c r="M84" i="7" s="1"/>
  <c r="J8" i="8"/>
  <c r="J11" i="8" s="1"/>
  <c r="D13" i="15"/>
  <c r="D17" i="15" s="1"/>
  <c r="D48" i="7"/>
  <c r="J44" i="7"/>
  <c r="N6" i="7"/>
  <c r="N15" i="7"/>
  <c r="D31" i="8"/>
  <c r="K58" i="7"/>
  <c r="K59" i="7"/>
  <c r="K6" i="8"/>
  <c r="K76" i="7"/>
  <c r="K46" i="7" s="1"/>
  <c r="K43" i="7"/>
  <c r="K23" i="8"/>
  <c r="K41" i="7"/>
  <c r="J60" i="7"/>
  <c r="E25" i="8"/>
  <c r="E30" i="8" s="1"/>
  <c r="E31" i="8" s="1"/>
  <c r="E47" i="7"/>
  <c r="L55" i="7"/>
  <c r="L38" i="7"/>
  <c r="L40" i="7"/>
  <c r="I66" i="8"/>
  <c r="I12" i="8"/>
  <c r="I52" i="8"/>
  <c r="I53" i="8" s="1"/>
  <c r="K10" i="8"/>
  <c r="K27" i="8"/>
  <c r="F75" i="7" l="1"/>
  <c r="F45" i="7" s="1"/>
  <c r="F25" i="8" s="1"/>
  <c r="F30" i="8" s="1"/>
  <c r="D23" i="15"/>
  <c r="G66" i="7"/>
  <c r="H67" i="7" s="1"/>
  <c r="J66" i="8"/>
  <c r="J69" i="8" s="1"/>
  <c r="J12" i="8"/>
  <c r="J52" i="8"/>
  <c r="J53" i="8" s="1"/>
  <c r="L76" i="7"/>
  <c r="L46" i="7" s="1"/>
  <c r="L43" i="7"/>
  <c r="L6" i="8"/>
  <c r="L41" i="7"/>
  <c r="L23" i="8"/>
  <c r="K44" i="7"/>
  <c r="E15" i="15"/>
  <c r="M91" i="7"/>
  <c r="M9" i="15"/>
  <c r="M10" i="15" s="1"/>
  <c r="L10" i="8"/>
  <c r="L27" i="8"/>
  <c r="E48" i="7"/>
  <c r="E13" i="15"/>
  <c r="K8" i="8"/>
  <c r="K11" i="8" s="1"/>
  <c r="E12" i="15"/>
  <c r="O6" i="7"/>
  <c r="O15" i="7"/>
  <c r="I71" i="7"/>
  <c r="J61" i="7"/>
  <c r="J62" i="7" s="1"/>
  <c r="I65" i="7"/>
  <c r="G73" i="7"/>
  <c r="G75" i="7" s="1"/>
  <c r="G45" i="7" s="1"/>
  <c r="I69" i="8"/>
  <c r="L59" i="7"/>
  <c r="L58" i="7"/>
  <c r="K60" i="7"/>
  <c r="M38" i="7"/>
  <c r="M55" i="7"/>
  <c r="M40" i="7"/>
  <c r="N85" i="7"/>
  <c r="N84" i="7" s="1"/>
  <c r="N30" i="7"/>
  <c r="N31" i="7" s="1"/>
  <c r="N37" i="7"/>
  <c r="I47" i="8"/>
  <c r="I48" i="8" s="1"/>
  <c r="F47" i="7" l="1"/>
  <c r="F48" i="7" s="1"/>
  <c r="H66" i="7"/>
  <c r="I67" i="7" s="1"/>
  <c r="I72" i="7" s="1"/>
  <c r="L60" i="7"/>
  <c r="G25" i="8"/>
  <c r="G30" i="8" s="1"/>
  <c r="G31" i="8" s="1"/>
  <c r="G47" i="7"/>
  <c r="K66" i="8"/>
  <c r="K12" i="8"/>
  <c r="K52" i="8"/>
  <c r="K53" i="8" s="1"/>
  <c r="J71" i="7"/>
  <c r="J65" i="7"/>
  <c r="K61" i="7"/>
  <c r="K62" i="7" s="1"/>
  <c r="L44" i="7"/>
  <c r="N55" i="7"/>
  <c r="N40" i="7"/>
  <c r="N38" i="7"/>
  <c r="M58" i="7"/>
  <c r="M59" i="7"/>
  <c r="O30" i="7"/>
  <c r="O31" i="7" s="1"/>
  <c r="O85" i="7"/>
  <c r="O84" i="7" s="1"/>
  <c r="O37" i="7"/>
  <c r="J47" i="8"/>
  <c r="J48" i="8" s="1"/>
  <c r="N9" i="15"/>
  <c r="N10" i="15" s="1"/>
  <c r="N91" i="7"/>
  <c r="F12" i="15"/>
  <c r="M27" i="8"/>
  <c r="M10" i="8"/>
  <c r="H72" i="7"/>
  <c r="H73" i="7"/>
  <c r="P6" i="7"/>
  <c r="P15" i="7"/>
  <c r="F31" i="8"/>
  <c r="M76" i="7"/>
  <c r="M46" i="7" s="1"/>
  <c r="M6" i="8"/>
  <c r="M43" i="7"/>
  <c r="M23" i="8"/>
  <c r="M41" i="7"/>
  <c r="F15" i="15"/>
  <c r="E16" i="15"/>
  <c r="I70" i="7"/>
  <c r="L8" i="8"/>
  <c r="L11" i="8" s="1"/>
  <c r="F13" i="15" l="1"/>
  <c r="G12" i="15" s="1"/>
  <c r="E17" i="15"/>
  <c r="E23" i="15" s="1"/>
  <c r="M60" i="7"/>
  <c r="L66" i="8"/>
  <c r="L69" i="8" s="1"/>
  <c r="L12" i="8"/>
  <c r="L47" i="8" s="1"/>
  <c r="L48" i="8" s="1"/>
  <c r="L52" i="8"/>
  <c r="L53" i="8" s="1"/>
  <c r="J70" i="7"/>
  <c r="N10" i="8"/>
  <c r="N27" i="8"/>
  <c r="N41" i="7"/>
  <c r="N23" i="8"/>
  <c r="N76" i="7"/>
  <c r="N46" i="7" s="1"/>
  <c r="N6" i="8"/>
  <c r="N43" i="7"/>
  <c r="F16" i="15"/>
  <c r="G15" i="15"/>
  <c r="O38" i="7"/>
  <c r="O40" i="7"/>
  <c r="O55" i="7"/>
  <c r="K69" i="8"/>
  <c r="Q6" i="7"/>
  <c r="Q15" i="7"/>
  <c r="O91" i="7"/>
  <c r="O9" i="15"/>
  <c r="O10" i="15" s="1"/>
  <c r="G48" i="7"/>
  <c r="G13" i="15"/>
  <c r="K71" i="7"/>
  <c r="L61" i="7"/>
  <c r="L62" i="7" s="1"/>
  <c r="K65" i="7"/>
  <c r="H75" i="7"/>
  <c r="H45" i="7" s="1"/>
  <c r="K47" i="8"/>
  <c r="K48" i="8" s="1"/>
  <c r="P30" i="7"/>
  <c r="P31" i="7" s="1"/>
  <c r="P37" i="7"/>
  <c r="P85" i="7"/>
  <c r="P84" i="7" s="1"/>
  <c r="M8" i="8"/>
  <c r="M11" i="8" s="1"/>
  <c r="I66" i="7"/>
  <c r="I73" i="7"/>
  <c r="I75" i="7" s="1"/>
  <c r="I45" i="7" s="1"/>
  <c r="M44" i="7"/>
  <c r="N58" i="7"/>
  <c r="N59" i="7"/>
  <c r="F17" i="15" l="1"/>
  <c r="F23" i="15" s="1"/>
  <c r="I25" i="8"/>
  <c r="I30" i="8" s="1"/>
  <c r="I31" i="8" s="1"/>
  <c r="I47" i="7"/>
  <c r="M12" i="8"/>
  <c r="M47" i="8" s="1"/>
  <c r="M48" i="8" s="1"/>
  <c r="M66" i="8"/>
  <c r="M69" i="8" s="1"/>
  <c r="M52" i="8"/>
  <c r="M53" i="8" s="1"/>
  <c r="J67" i="7"/>
  <c r="O76" i="7"/>
  <c r="O46" i="7" s="1"/>
  <c r="O41" i="7"/>
  <c r="O23" i="8"/>
  <c r="O43" i="7"/>
  <c r="O6" i="8"/>
  <c r="O58" i="7"/>
  <c r="O59" i="7"/>
  <c r="N60" i="7"/>
  <c r="O27" i="8"/>
  <c r="O10" i="8"/>
  <c r="P38" i="7"/>
  <c r="P55" i="7"/>
  <c r="P40" i="7"/>
  <c r="K70" i="7"/>
  <c r="R6" i="7"/>
  <c r="R15" i="7"/>
  <c r="G16" i="15"/>
  <c r="N8" i="8"/>
  <c r="N11" i="8" s="1"/>
  <c r="H12" i="15"/>
  <c r="P91" i="7"/>
  <c r="P9" i="15"/>
  <c r="P10" i="15" s="1"/>
  <c r="L71" i="7"/>
  <c r="M61" i="7"/>
  <c r="M62" i="7" s="1"/>
  <c r="L65" i="7"/>
  <c r="Q30" i="7"/>
  <c r="Q31" i="7" s="1"/>
  <c r="Q85" i="7"/>
  <c r="Q84" i="7" s="1"/>
  <c r="Q37" i="7"/>
  <c r="H25" i="8"/>
  <c r="H30" i="8" s="1"/>
  <c r="H15" i="15" s="1"/>
  <c r="H47" i="7"/>
  <c r="N44" i="7"/>
  <c r="G17" i="15" l="1"/>
  <c r="G23" i="15" s="1"/>
  <c r="N66" i="8"/>
  <c r="N69" i="8" s="1"/>
  <c r="N12" i="8"/>
  <c r="N47" i="8" s="1"/>
  <c r="N48" i="8" s="1"/>
  <c r="N52" i="8"/>
  <c r="N53" i="8" s="1"/>
  <c r="M71" i="7"/>
  <c r="N61" i="7"/>
  <c r="N62" i="7" s="1"/>
  <c r="M65" i="7"/>
  <c r="J72" i="7"/>
  <c r="J73" i="7"/>
  <c r="J66" i="7"/>
  <c r="L70" i="7"/>
  <c r="I15" i="15"/>
  <c r="H16" i="15"/>
  <c r="O60" i="7"/>
  <c r="P41" i="7"/>
  <c r="P6" i="8"/>
  <c r="P76" i="7"/>
  <c r="P46" i="7" s="1"/>
  <c r="P23" i="8"/>
  <c r="P43" i="7"/>
  <c r="O8" i="8"/>
  <c r="O11" i="8" s="1"/>
  <c r="H48" i="7"/>
  <c r="H13" i="15"/>
  <c r="R85" i="7"/>
  <c r="R84" i="7" s="1"/>
  <c r="R30" i="7"/>
  <c r="R31" i="7" s="1"/>
  <c r="R37" i="7"/>
  <c r="O44" i="7"/>
  <c r="H31" i="8"/>
  <c r="P10" i="8"/>
  <c r="P27" i="8"/>
  <c r="S15" i="7"/>
  <c r="S6" i="7"/>
  <c r="Q55" i="7"/>
  <c r="Q38" i="7"/>
  <c r="Q40" i="7"/>
  <c r="I48" i="7"/>
  <c r="I13" i="15"/>
  <c r="P58" i="7"/>
  <c r="P59" i="7"/>
  <c r="Q91" i="7"/>
  <c r="Q9" i="15"/>
  <c r="Q10" i="15" s="1"/>
  <c r="H17" i="15" l="1"/>
  <c r="H23" i="15" s="1"/>
  <c r="I12" i="15"/>
  <c r="J12" i="15" s="1"/>
  <c r="J75" i="7"/>
  <c r="J45" i="7" s="1"/>
  <c r="J25" i="8" s="1"/>
  <c r="J30" i="8" s="1"/>
  <c r="N71" i="7"/>
  <c r="O61" i="7"/>
  <c r="O62" i="7" s="1"/>
  <c r="N65" i="7"/>
  <c r="O12" i="8"/>
  <c r="O47" i="8" s="1"/>
  <c r="O48" i="8" s="1"/>
  <c r="O66" i="8"/>
  <c r="O69" i="8" s="1"/>
  <c r="O52" i="8"/>
  <c r="O53" i="8" s="1"/>
  <c r="R38" i="7"/>
  <c r="R55" i="7"/>
  <c r="R40" i="7"/>
  <c r="P44" i="7"/>
  <c r="R9" i="15"/>
  <c r="R10" i="15" s="1"/>
  <c r="R91" i="7"/>
  <c r="P8" i="8"/>
  <c r="P11" i="8" s="1"/>
  <c r="Q10" i="8"/>
  <c r="Q27" i="8"/>
  <c r="K67" i="7"/>
  <c r="I16" i="15"/>
  <c r="S30" i="7"/>
  <c r="S31" i="7" s="1"/>
  <c r="S37" i="7"/>
  <c r="S85" i="7"/>
  <c r="S84" i="7" s="1"/>
  <c r="M70" i="7"/>
  <c r="Q41" i="7"/>
  <c r="Q6" i="8"/>
  <c r="Q23" i="8"/>
  <c r="Q76" i="7"/>
  <c r="Q46" i="7" s="1"/>
  <c r="Q43" i="7"/>
  <c r="Q58" i="7"/>
  <c r="Q59" i="7"/>
  <c r="P60" i="7"/>
  <c r="T6" i="7"/>
  <c r="T15" i="7"/>
  <c r="I17" i="15" l="1"/>
  <c r="I23" i="15" s="1"/>
  <c r="J47" i="7"/>
  <c r="J48" i="7" s="1"/>
  <c r="P66" i="8"/>
  <c r="P69" i="8" s="1"/>
  <c r="P12" i="8"/>
  <c r="P47" i="8" s="1"/>
  <c r="P48" i="8" s="1"/>
  <c r="P52" i="8"/>
  <c r="P53" i="8" s="1"/>
  <c r="Q44" i="7"/>
  <c r="T30" i="7"/>
  <c r="T31" i="7" s="1"/>
  <c r="T85" i="7"/>
  <c r="T84" i="7" s="1"/>
  <c r="T37" i="7"/>
  <c r="Q8" i="8"/>
  <c r="Q11" i="8" s="1"/>
  <c r="U6" i="7"/>
  <c r="U15" i="7"/>
  <c r="J31" i="8"/>
  <c r="R6" i="8"/>
  <c r="R43" i="7"/>
  <c r="R41" i="7"/>
  <c r="R23" i="8"/>
  <c r="R76" i="7"/>
  <c r="R46" i="7" s="1"/>
  <c r="J15" i="15"/>
  <c r="R58" i="7"/>
  <c r="R59" i="7"/>
  <c r="N70" i="7"/>
  <c r="S38" i="7"/>
  <c r="S55" i="7"/>
  <c r="S40" i="7"/>
  <c r="K72" i="7"/>
  <c r="K73" i="7"/>
  <c r="S9" i="15"/>
  <c r="S10" i="15" s="1"/>
  <c r="S91" i="7"/>
  <c r="R10" i="8"/>
  <c r="R27" i="8"/>
  <c r="Q60" i="7"/>
  <c r="O71" i="7"/>
  <c r="P61" i="7"/>
  <c r="P62" i="7" s="1"/>
  <c r="O65" i="7"/>
  <c r="K66" i="7"/>
  <c r="J13" i="15" l="1"/>
  <c r="K12" i="15" s="1"/>
  <c r="K75" i="7"/>
  <c r="K45" i="7" s="1"/>
  <c r="K25" i="8" s="1"/>
  <c r="K30" i="8" s="1"/>
  <c r="K31" i="8" s="1"/>
  <c r="P71" i="7"/>
  <c r="Q61" i="7"/>
  <c r="Q62" i="7" s="1"/>
  <c r="P65" i="7"/>
  <c r="R44" i="7"/>
  <c r="L67" i="7"/>
  <c r="L66" i="7" s="1"/>
  <c r="O70" i="7"/>
  <c r="S58" i="7"/>
  <c r="S59" i="7"/>
  <c r="T91" i="7"/>
  <c r="T9" i="15"/>
  <c r="T10" i="15" s="1"/>
  <c r="J16" i="15"/>
  <c r="Q12" i="8"/>
  <c r="Q47" i="8" s="1"/>
  <c r="Q48" i="8" s="1"/>
  <c r="Q66" i="8"/>
  <c r="Q69" i="8" s="1"/>
  <c r="Q52" i="8"/>
  <c r="Q53" i="8" s="1"/>
  <c r="S41" i="7"/>
  <c r="S23" i="8"/>
  <c r="S43" i="7"/>
  <c r="S76" i="7"/>
  <c r="S46" i="7" s="1"/>
  <c r="S6" i="8"/>
  <c r="R8" i="8"/>
  <c r="R11" i="8" s="1"/>
  <c r="S10" i="8"/>
  <c r="S27" i="8"/>
  <c r="R60" i="7"/>
  <c r="V6" i="7"/>
  <c r="V15" i="7"/>
  <c r="U30" i="7"/>
  <c r="U31" i="7" s="1"/>
  <c r="U85" i="7"/>
  <c r="U84" i="7" s="1"/>
  <c r="U37" i="7"/>
  <c r="T38" i="7"/>
  <c r="T40" i="7"/>
  <c r="T55" i="7"/>
  <c r="J17" i="15" l="1"/>
  <c r="J23" i="15" s="1"/>
  <c r="K47" i="7"/>
  <c r="K48" i="7" s="1"/>
  <c r="R66" i="8"/>
  <c r="R69" i="8" s="1"/>
  <c r="R12" i="8"/>
  <c r="R47" i="8" s="1"/>
  <c r="R48" i="8" s="1"/>
  <c r="R52" i="8"/>
  <c r="R53" i="8" s="1"/>
  <c r="V30" i="7"/>
  <c r="V31" i="7" s="1"/>
  <c r="V85" i="7"/>
  <c r="V84" i="7" s="1"/>
  <c r="V37" i="7"/>
  <c r="T10" i="8"/>
  <c r="T27" i="8"/>
  <c r="T43" i="7"/>
  <c r="T41" i="7"/>
  <c r="T76" i="7"/>
  <c r="T46" i="7" s="1"/>
  <c r="T23" i="8"/>
  <c r="T6" i="8"/>
  <c r="Q71" i="7"/>
  <c r="R61" i="7"/>
  <c r="R62" i="7" s="1"/>
  <c r="Q65" i="7"/>
  <c r="S60" i="7"/>
  <c r="K15" i="15"/>
  <c r="U38" i="7"/>
  <c r="U55" i="7"/>
  <c r="U40" i="7"/>
  <c r="P70" i="7"/>
  <c r="S8" i="8"/>
  <c r="S11" i="8" s="1"/>
  <c r="U9" i="15"/>
  <c r="U10" i="15" s="1"/>
  <c r="U91" i="7"/>
  <c r="M67" i="7"/>
  <c r="M66" i="7" s="1"/>
  <c r="L72" i="7"/>
  <c r="L73" i="7"/>
  <c r="T59" i="7"/>
  <c r="T58" i="7"/>
  <c r="S44" i="7"/>
  <c r="K13" i="15" l="1"/>
  <c r="L12" i="15" s="1"/>
  <c r="T60" i="7"/>
  <c r="S12" i="8"/>
  <c r="S47" i="8" s="1"/>
  <c r="S48" i="8" s="1"/>
  <c r="S66" i="8"/>
  <c r="S69" i="8" s="1"/>
  <c r="S52" i="8"/>
  <c r="S53" i="8" s="1"/>
  <c r="U27" i="8"/>
  <c r="U10" i="8"/>
  <c r="V38" i="7"/>
  <c r="V55" i="7"/>
  <c r="V40" i="7"/>
  <c r="V91" i="7"/>
  <c r="V9" i="15"/>
  <c r="V10" i="15" s="1"/>
  <c r="W91" i="7"/>
  <c r="R71" i="7"/>
  <c r="S61" i="7"/>
  <c r="S62" i="7" s="1"/>
  <c r="R65" i="7"/>
  <c r="M72" i="7"/>
  <c r="M73" i="7"/>
  <c r="T44" i="7"/>
  <c r="U76" i="7"/>
  <c r="U46" i="7" s="1"/>
  <c r="U6" i="8"/>
  <c r="U43" i="7"/>
  <c r="U23" i="8"/>
  <c r="U41" i="7"/>
  <c r="T8" i="8"/>
  <c r="T11" i="8" s="1"/>
  <c r="U58" i="7"/>
  <c r="U59" i="7"/>
  <c r="K16" i="15"/>
  <c r="L75" i="7"/>
  <c r="L45" i="7" s="1"/>
  <c r="N67" i="7"/>
  <c r="N66" i="7" s="1"/>
  <c r="Q70" i="7"/>
  <c r="K17" i="15" l="1"/>
  <c r="K23" i="15" s="1"/>
  <c r="M75" i="7"/>
  <c r="M45" i="7" s="1"/>
  <c r="M25" i="8" s="1"/>
  <c r="M30" i="8" s="1"/>
  <c r="M31" i="8" s="1"/>
  <c r="S71" i="7"/>
  <c r="T61" i="7"/>
  <c r="T62" i="7" s="1"/>
  <c r="S65" i="7"/>
  <c r="U8" i="8"/>
  <c r="U11" i="8" s="1"/>
  <c r="T66" i="8"/>
  <c r="T69" i="8" s="1"/>
  <c r="T12" i="8"/>
  <c r="T47" i="8" s="1"/>
  <c r="T48" i="8" s="1"/>
  <c r="T52" i="8"/>
  <c r="T53" i="8" s="1"/>
  <c r="W10" i="8"/>
  <c r="W11" i="8" s="1"/>
  <c r="W27" i="8"/>
  <c r="V58" i="7"/>
  <c r="V59" i="7"/>
  <c r="U60" i="7"/>
  <c r="N72" i="7"/>
  <c r="N73" i="7"/>
  <c r="L25" i="8"/>
  <c r="L30" i="8" s="1"/>
  <c r="L47" i="7"/>
  <c r="O67" i="7"/>
  <c r="O66" i="7" s="1"/>
  <c r="V10" i="8"/>
  <c r="V27" i="8"/>
  <c r="R70" i="7"/>
  <c r="U44" i="7"/>
  <c r="V6" i="8"/>
  <c r="V76" i="7"/>
  <c r="V46" i="7" s="1"/>
  <c r="V41" i="7"/>
  <c r="V23" i="8"/>
  <c r="V43" i="7"/>
  <c r="M47" i="7" l="1"/>
  <c r="M13" i="15" s="1"/>
  <c r="N75" i="7"/>
  <c r="N45" i="7" s="1"/>
  <c r="N25" i="8" s="1"/>
  <c r="N30" i="8" s="1"/>
  <c r="N31" i="8" s="1"/>
  <c r="U12" i="8"/>
  <c r="U47" i="8" s="1"/>
  <c r="U48" i="8" s="1"/>
  <c r="U66" i="8"/>
  <c r="U69" i="8" s="1"/>
  <c r="U52" i="8"/>
  <c r="U53" i="8" s="1"/>
  <c r="V44" i="7"/>
  <c r="W58" i="7"/>
  <c r="W59" i="7"/>
  <c r="V60" i="7"/>
  <c r="O72" i="7"/>
  <c r="O73" i="7"/>
  <c r="V8" i="8"/>
  <c r="V11" i="8" s="1"/>
  <c r="X52" i="8" s="1"/>
  <c r="X53" i="8" s="1"/>
  <c r="L48" i="7"/>
  <c r="L13" i="15"/>
  <c r="W12" i="8"/>
  <c r="W66" i="8"/>
  <c r="W69" i="8" s="1"/>
  <c r="S70" i="7"/>
  <c r="P67" i="7"/>
  <c r="P66" i="7" s="1"/>
  <c r="L31" i="8"/>
  <c r="L15" i="15"/>
  <c r="T71" i="7"/>
  <c r="U61" i="7"/>
  <c r="U62" i="7" s="1"/>
  <c r="T65" i="7"/>
  <c r="Z52" i="8" l="1"/>
  <c r="Z53" i="8" s="1"/>
  <c r="Y52" i="8"/>
  <c r="Y53" i="8" s="1"/>
  <c r="N47" i="7"/>
  <c r="M48" i="7"/>
  <c r="O75" i="7"/>
  <c r="O45" i="7" s="1"/>
  <c r="O25" i="8" s="1"/>
  <c r="O30" i="8" s="1"/>
  <c r="O31" i="8" s="1"/>
  <c r="V12" i="8"/>
  <c r="V47" i="8" s="1"/>
  <c r="V48" i="8" s="1"/>
  <c r="V66" i="8"/>
  <c r="V69" i="8" s="1"/>
  <c r="C71" i="8" s="1"/>
  <c r="C57" i="8" s="1"/>
  <c r="V52" i="8"/>
  <c r="V53" i="8" s="1"/>
  <c r="C15" i="8"/>
  <c r="W52" i="8"/>
  <c r="W53" i="8" s="1"/>
  <c r="C16" i="8"/>
  <c r="U71" i="7"/>
  <c r="V61" i="7"/>
  <c r="V62" i="7" s="1"/>
  <c r="U65" i="7"/>
  <c r="W60" i="7"/>
  <c r="X58" i="7"/>
  <c r="X59" i="7"/>
  <c r="M12" i="15"/>
  <c r="L16" i="15"/>
  <c r="M15" i="15"/>
  <c r="T70" i="7"/>
  <c r="Q67" i="7"/>
  <c r="P72" i="7"/>
  <c r="P73" i="7"/>
  <c r="N13" i="15"/>
  <c r="N48" i="7"/>
  <c r="L17" i="15" l="1"/>
  <c r="L23" i="15" s="1"/>
  <c r="Y47" i="8"/>
  <c r="Y48" i="8" s="1"/>
  <c r="X47" i="8"/>
  <c r="X48" i="8" s="1"/>
  <c r="Z47" i="8"/>
  <c r="Z48" i="8" s="1"/>
  <c r="C58" i="8"/>
  <c r="I19" i="1" s="1"/>
  <c r="O47" i="7"/>
  <c r="O13" i="15" s="1"/>
  <c r="W47" i="8"/>
  <c r="W48" i="8" s="1"/>
  <c r="V71" i="7"/>
  <c r="W61" i="7"/>
  <c r="W62" i="7" s="1"/>
  <c r="V65" i="7"/>
  <c r="O41" i="2"/>
  <c r="I15" i="1"/>
  <c r="Y58" i="7"/>
  <c r="Y59" i="7"/>
  <c r="M16" i="15"/>
  <c r="N15" i="15"/>
  <c r="C41" i="8"/>
  <c r="P75" i="7"/>
  <c r="P45" i="7" s="1"/>
  <c r="X60" i="7"/>
  <c r="Q72" i="7"/>
  <c r="Q73" i="7"/>
  <c r="O46" i="2"/>
  <c r="I18" i="1"/>
  <c r="Q66" i="7"/>
  <c r="O40" i="2"/>
  <c r="I14" i="1"/>
  <c r="N12" i="15"/>
  <c r="U70" i="7"/>
  <c r="M17" i="15" l="1"/>
  <c r="M23" i="15" s="1"/>
  <c r="C40" i="8"/>
  <c r="O50" i="2" s="1"/>
  <c r="O48" i="2"/>
  <c r="O48" i="7"/>
  <c r="Z58" i="7"/>
  <c r="Z59" i="7"/>
  <c r="Q75" i="7"/>
  <c r="Q45" i="7" s="1"/>
  <c r="Y60" i="7"/>
  <c r="O12" i="15"/>
  <c r="P25" i="8"/>
  <c r="P30" i="8" s="1"/>
  <c r="P47" i="7"/>
  <c r="I21" i="1"/>
  <c r="O51" i="2"/>
  <c r="V70" i="7"/>
  <c r="R67" i="7"/>
  <c r="R66" i="7" s="1"/>
  <c r="W71" i="7"/>
  <c r="W65" i="7"/>
  <c r="X61" i="7"/>
  <c r="X62" i="7" s="1"/>
  <c r="N16" i="15"/>
  <c r="O15" i="15"/>
  <c r="N17" i="15" l="1"/>
  <c r="N23" i="15" s="1"/>
  <c r="I20" i="1"/>
  <c r="X71" i="7"/>
  <c r="X65" i="7"/>
  <c r="Y61" i="7"/>
  <c r="Y62" i="7" s="1"/>
  <c r="P12" i="15"/>
  <c r="Q25" i="8"/>
  <c r="Q30" i="8" s="1"/>
  <c r="Q31" i="8" s="1"/>
  <c r="Q47" i="7"/>
  <c r="O16" i="15"/>
  <c r="P15" i="15"/>
  <c r="AA58" i="7"/>
  <c r="AA59" i="7"/>
  <c r="W70" i="7"/>
  <c r="R72" i="7"/>
  <c r="R73" i="7"/>
  <c r="P13" i="15"/>
  <c r="P48" i="7"/>
  <c r="Z60" i="7"/>
  <c r="S67" i="7"/>
  <c r="S66" i="7" s="1"/>
  <c r="P31" i="8"/>
  <c r="O17" i="15" l="1"/>
  <c r="O23" i="15" s="1"/>
  <c r="AB59" i="7"/>
  <c r="AB58" i="7"/>
  <c r="S72" i="7"/>
  <c r="S73" i="7"/>
  <c r="Q12" i="15"/>
  <c r="AA60" i="7"/>
  <c r="Y71" i="7"/>
  <c r="Y65" i="7"/>
  <c r="Z61" i="7"/>
  <c r="Z62" i="7" s="1"/>
  <c r="T67" i="7"/>
  <c r="T66" i="7" s="1"/>
  <c r="Q48" i="7"/>
  <c r="Q13" i="15"/>
  <c r="R75" i="7"/>
  <c r="R45" i="7" s="1"/>
  <c r="P16" i="15"/>
  <c r="Q15" i="15"/>
  <c r="X70" i="7"/>
  <c r="P17" i="15" l="1"/>
  <c r="P23" i="15" s="1"/>
  <c r="AB60" i="7"/>
  <c r="S75" i="7"/>
  <c r="S45" i="7" s="1"/>
  <c r="S25" i="8" s="1"/>
  <c r="S30" i="8" s="1"/>
  <c r="S31" i="8" s="1"/>
  <c r="U67" i="7"/>
  <c r="Z71" i="7"/>
  <c r="Z65" i="7"/>
  <c r="AA61" i="7"/>
  <c r="AA62" i="7" s="1"/>
  <c r="Q16" i="15"/>
  <c r="Y70" i="7"/>
  <c r="R12" i="15"/>
  <c r="R25" i="8"/>
  <c r="R30" i="8" s="1"/>
  <c r="R15" i="15" s="1"/>
  <c r="R47" i="7"/>
  <c r="T72" i="7"/>
  <c r="T73" i="7"/>
  <c r="AC58" i="7"/>
  <c r="AC59" i="7"/>
  <c r="Q17" i="15" l="1"/>
  <c r="Q23" i="15" s="1"/>
  <c r="S47" i="7"/>
  <c r="S48" i="7" s="1"/>
  <c r="T75" i="7"/>
  <c r="T45" i="7" s="1"/>
  <c r="T47" i="7" s="1"/>
  <c r="S15" i="15"/>
  <c r="R16" i="15"/>
  <c r="AD58" i="7"/>
  <c r="AD59" i="7"/>
  <c r="AA65" i="7"/>
  <c r="AA71" i="7"/>
  <c r="AB61" i="7"/>
  <c r="AB62" i="7" s="1"/>
  <c r="AC60" i="7"/>
  <c r="Z70" i="7"/>
  <c r="R13" i="15"/>
  <c r="R48" i="7"/>
  <c r="U72" i="7"/>
  <c r="U73" i="7"/>
  <c r="R31" i="8"/>
  <c r="U66" i="7"/>
  <c r="R17" i="15" l="1"/>
  <c r="R23" i="15" s="1"/>
  <c r="S13" i="15"/>
  <c r="T25" i="8"/>
  <c r="T30" i="8" s="1"/>
  <c r="T31" i="8" s="1"/>
  <c r="U75" i="7"/>
  <c r="U45" i="7" s="1"/>
  <c r="T48" i="7"/>
  <c r="T13" i="15"/>
  <c r="S12" i="15"/>
  <c r="AE58" i="7"/>
  <c r="AE59" i="7"/>
  <c r="V67" i="7"/>
  <c r="AB71" i="7"/>
  <c r="AB65" i="7"/>
  <c r="AC61" i="7"/>
  <c r="AC62" i="7" s="1"/>
  <c r="AD60" i="7"/>
  <c r="AA70" i="7"/>
  <c r="S16" i="15"/>
  <c r="S17" i="15" l="1"/>
  <c r="S23" i="15" s="1"/>
  <c r="T15" i="15"/>
  <c r="T16" i="15" s="1"/>
  <c r="AC71" i="7"/>
  <c r="AC65" i="7"/>
  <c r="AD61" i="7"/>
  <c r="AD62" i="7" s="1"/>
  <c r="AE60" i="7"/>
  <c r="T12" i="15"/>
  <c r="AB70" i="7"/>
  <c r="AF58" i="7"/>
  <c r="AF59" i="7"/>
  <c r="V72" i="7"/>
  <c r="V73" i="7"/>
  <c r="U25" i="8"/>
  <c r="U30" i="8" s="1"/>
  <c r="U31" i="8" s="1"/>
  <c r="U47" i="7"/>
  <c r="V66" i="7"/>
  <c r="T17" i="15" l="1"/>
  <c r="T23" i="15" s="1"/>
  <c r="U15" i="15"/>
  <c r="U16" i="15" s="1"/>
  <c r="AD71" i="7"/>
  <c r="AD65" i="7"/>
  <c r="AE61" i="7"/>
  <c r="AE62" i="7" s="1"/>
  <c r="AG58" i="7"/>
  <c r="AG59" i="7"/>
  <c r="AF60" i="7"/>
  <c r="AC70" i="7"/>
  <c r="U12" i="15"/>
  <c r="W67" i="7"/>
  <c r="U13" i="15"/>
  <c r="U48" i="7"/>
  <c r="V75" i="7"/>
  <c r="V45" i="7" s="1"/>
  <c r="U17" i="15" l="1"/>
  <c r="U23" i="15" s="1"/>
  <c r="W72" i="7"/>
  <c r="W73" i="7"/>
  <c r="AG60" i="7"/>
  <c r="V25" i="8"/>
  <c r="V30" i="8" s="1"/>
  <c r="V47" i="7"/>
  <c r="AE65" i="7"/>
  <c r="AE71" i="7"/>
  <c r="AF61" i="7"/>
  <c r="AF62" i="7" s="1"/>
  <c r="AD70" i="7"/>
  <c r="V12" i="15"/>
  <c r="W66" i="7"/>
  <c r="V31" i="8" l="1"/>
  <c r="V15" i="15"/>
  <c r="AF71" i="7"/>
  <c r="AF65" i="7"/>
  <c r="AG61" i="7"/>
  <c r="AG62" i="7" s="1"/>
  <c r="AE70" i="7"/>
  <c r="V48" i="7"/>
  <c r="V13" i="15"/>
  <c r="W12" i="15" s="1"/>
  <c r="X67" i="7"/>
  <c r="W75" i="7"/>
  <c r="W45" i="7" s="1"/>
  <c r="V16" i="15" l="1"/>
  <c r="W47" i="7"/>
  <c r="W25" i="8"/>
  <c r="W30" i="8" s="1"/>
  <c r="AG65" i="7"/>
  <c r="AG71" i="7"/>
  <c r="AF70" i="7"/>
  <c r="X72" i="7"/>
  <c r="X73" i="7"/>
  <c r="X66" i="7"/>
  <c r="V17" i="15" l="1"/>
  <c r="V23" i="15" s="1"/>
  <c r="W31" i="8"/>
  <c r="W13" i="15"/>
  <c r="W48" i="7"/>
  <c r="W15" i="15"/>
  <c r="Y67" i="7"/>
  <c r="Y66" i="7" s="1"/>
  <c r="X75" i="7"/>
  <c r="X45" i="7" s="1"/>
  <c r="AG73" i="7"/>
  <c r="AG67" i="7"/>
  <c r="AG72" i="7" s="1"/>
  <c r="AG70" i="7"/>
  <c r="W16" i="15" l="1"/>
  <c r="X47" i="7"/>
  <c r="X25" i="8"/>
  <c r="X30" i="8" s="1"/>
  <c r="X12" i="15"/>
  <c r="Z67" i="7"/>
  <c r="AG75" i="7"/>
  <c r="Y72" i="7"/>
  <c r="Y73" i="7"/>
  <c r="W17" i="15" l="1"/>
  <c r="W23" i="15" s="1"/>
  <c r="X31" i="8"/>
  <c r="X48" i="7"/>
  <c r="X13" i="15"/>
  <c r="Y12" i="15" s="1"/>
  <c r="X15" i="15"/>
  <c r="Y75" i="7"/>
  <c r="Y45" i="7" s="1"/>
  <c r="Z72" i="7"/>
  <c r="Z73" i="7"/>
  <c r="Z66" i="7"/>
  <c r="X16" i="15" l="1"/>
  <c r="Y47" i="7"/>
  <c r="Y25" i="8"/>
  <c r="Y30" i="8" s="1"/>
  <c r="Z75" i="7"/>
  <c r="AA67" i="7"/>
  <c r="X17" i="15" l="1"/>
  <c r="X23" i="15" s="1"/>
  <c r="Y31" i="8"/>
  <c r="C35" i="8"/>
  <c r="C34" i="8"/>
  <c r="Y48" i="7"/>
  <c r="Y13" i="15"/>
  <c r="Y15" i="15"/>
  <c r="Y16" i="15" s="1"/>
  <c r="AA72" i="7"/>
  <c r="AA73" i="7"/>
  <c r="AA66" i="7"/>
  <c r="Y17" i="15" l="1"/>
  <c r="Y23" i="15" s="1"/>
  <c r="O43" i="2"/>
  <c r="I16" i="1"/>
  <c r="O44" i="2"/>
  <c r="I17" i="1"/>
  <c r="AB67" i="7"/>
  <c r="AA75" i="7"/>
  <c r="AB72" i="7" l="1"/>
  <c r="AB73" i="7"/>
  <c r="AB66" i="7"/>
  <c r="AB75" i="7" l="1"/>
  <c r="AC67" i="7"/>
  <c r="AC72" i="7" l="1"/>
  <c r="AC73" i="7"/>
  <c r="AC66" i="7"/>
  <c r="AC75" i="7" l="1"/>
  <c r="AD67" i="7"/>
  <c r="AD66" i="7" s="1"/>
  <c r="AE67" i="7" l="1"/>
  <c r="AD72" i="7"/>
  <c r="AD73" i="7"/>
  <c r="AD75" i="7" l="1"/>
  <c r="AE72" i="7"/>
  <c r="AE73" i="7"/>
  <c r="AE66" i="7"/>
  <c r="AF67" i="7" l="1"/>
  <c r="AE75" i="7"/>
  <c r="AF72" i="7" l="1"/>
  <c r="AF73" i="7"/>
  <c r="AF66" i="7"/>
  <c r="AG66" i="7" s="1"/>
  <c r="AF75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ffabbri</author>
  </authors>
  <commentList>
    <comment ref="C5" authorId="0" shapeId="0" xr:uid="{00000000-0006-0000-0000-000001000000}">
      <text>
        <r>
          <rPr>
            <b/>
            <u/>
            <sz val="8"/>
            <color indexed="81"/>
            <rFont val="Tahoma"/>
            <family val="2"/>
          </rPr>
          <t>Autorizzazione Investimento a Budget:</t>
        </r>
        <r>
          <rPr>
            <sz val="8"/>
            <color indexed="81"/>
            <rFont val="Tahoma"/>
            <family val="2"/>
          </rPr>
          <t xml:space="preserve">  richiesta autorizzazione alla spesa e all'apertura di OdL/OT per un intervento previsto a Budget
</t>
        </r>
        <r>
          <rPr>
            <b/>
            <u/>
            <sz val="8"/>
            <color indexed="81"/>
            <rFont val="Tahoma"/>
            <family val="2"/>
          </rPr>
          <t>Extra-Budget:</t>
        </r>
        <r>
          <rPr>
            <sz val="8"/>
            <color indexed="81"/>
            <rFont val="Tahoma"/>
            <family val="2"/>
          </rPr>
          <t xml:space="preserve">  richiesta autorizzazione al superamento della spesa prevista nell'anno dovuta a variazione temporale dell'investimento, nel rispetto dell'importo complessivo a vita interaintervento previsto a Budget
</t>
        </r>
        <r>
          <rPr>
            <b/>
            <u/>
            <sz val="8"/>
            <color indexed="81"/>
            <rFont val="Tahoma"/>
            <family val="2"/>
          </rPr>
          <t>Extra-Autorizzato:</t>
        </r>
        <r>
          <rPr>
            <sz val="8"/>
            <color indexed="81"/>
            <rFont val="Tahoma"/>
            <family val="2"/>
          </rPr>
          <t xml:space="preserve"> richiesta autorizzazione al superamento importo complessivo a vita intera (oltre che del Budget annuo)
</t>
        </r>
        <r>
          <rPr>
            <b/>
            <u/>
            <sz val="8"/>
            <color indexed="81"/>
            <rFont val="Tahoma"/>
            <family val="2"/>
          </rPr>
          <t>Nuovo Investimento:</t>
        </r>
        <r>
          <rPr>
            <sz val="8"/>
            <color indexed="81"/>
            <rFont val="Tahoma"/>
            <family val="2"/>
          </rPr>
          <t xml:space="preserve">  intervento non previsto a Budget</t>
        </r>
      </text>
    </comment>
    <comment ref="C58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 xml:space="preserve">Attenzione: 
</t>
        </r>
        <r>
          <rPr>
            <sz val="8"/>
            <color indexed="81"/>
            <rFont val="Tahoma"/>
            <family val="2"/>
          </rPr>
          <t>sono riportati i giorni medi aziendali. Se necessario, è possibile aggiornarli inserendo valori puntuali.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59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 xml:space="preserve">Attenzione: 
</t>
        </r>
        <r>
          <rPr>
            <sz val="8"/>
            <color indexed="81"/>
            <rFont val="Tahoma"/>
            <family val="2"/>
          </rPr>
          <t xml:space="preserve"> sono riportati i giorni medi aziendali diversificati  per i principali business. E' comunque possibile aggiornarli inserendo dei valori puntuali.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60" authorId="0" shapeId="0" xr:uid="{00000000-0006-0000-0000-000004000000}">
      <text>
        <r>
          <rPr>
            <sz val="8"/>
            <color indexed="81"/>
            <rFont val="Tahoma"/>
            <family val="2"/>
          </rPr>
          <t xml:space="preserve"> sono riportati i giorni medi aziendali. Se necessario, è possibile aggiornarli inserendo dei valori puntuali.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72" authorId="0" shapeId="0" xr:uid="{00000000-0006-0000-0000-000005000000}">
      <text>
        <r>
          <rPr>
            <sz val="8"/>
            <color indexed="81"/>
            <rFont val="Tahoma"/>
            <family val="2"/>
          </rPr>
          <t>Inserire "Si" se il progetto risulta trasversale a più UdB. In tal caso dovrà essere compilato il foglio "Progetto Trasversale a più UdB" con il dettaglio delle quote di competenza per ogni UdB partecipante.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<sst xmlns="http://schemas.openxmlformats.org/spreadsheetml/2006/main" count="1297" uniqueCount="565">
  <si>
    <t>INSERIRE I DATI   /   COMPILARE SOLO IL FOGLIO "IN" (INPUT) /   PAGINA DI INPUT DA NON STAMPARE</t>
  </si>
  <si>
    <t>ID Investimento</t>
  </si>
  <si>
    <t>Composizione canone futuro € + IVA</t>
  </si>
  <si>
    <t xml:space="preserve">Tipo richiesta autorizzat.: </t>
  </si>
  <si>
    <t>Autorizz. Inv. a Budget</t>
  </si>
  <si>
    <t>energia elettrica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</si>
  <si>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</si>
  <si>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Data compilazione</t>
  </si>
  <si>
    <t>rata della somma: lavori + oneri sicurezza lavori + spese tecniche e di gara</t>
  </si>
  <si>
    <t>Centro di responsabilità</t>
  </si>
  <si>
    <t>Alessandro Battistini</t>
  </si>
  <si>
    <t>totale</t>
  </si>
  <si>
    <t xml:space="preserve"> </t>
  </si>
  <si>
    <t>Richiedente</t>
  </si>
  <si>
    <t>INFO Composizione CANONE € + IVA</t>
  </si>
  <si>
    <t>VAN progetto</t>
  </si>
  <si>
    <t>numero unità situazione attuale</t>
  </si>
  <si>
    <t>TIR progetto</t>
  </si>
  <si>
    <t>numero unità situazione futura</t>
  </si>
  <si>
    <t>VAN azionista</t>
  </si>
  <si>
    <t>€/kWh costi</t>
  </si>
  <si>
    <t>TIR azionista</t>
  </si>
  <si>
    <t>kWh/anno energia elettrica attuale</t>
  </si>
  <si>
    <t>ADSCR</t>
  </si>
  <si>
    <t>kWh/anno energia elettrica futuro</t>
  </si>
  <si>
    <t>LLCR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</si>
  <si>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</si>
  <si>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Payback Period (anni) Discounted Cash Flow</t>
  </si>
  <si>
    <t>Payback Period (anni) Cash Flow</t>
  </si>
  <si>
    <t>€/pl + iva gestione e manutenzione</t>
  </si>
  <si>
    <t>data inizio</t>
  </si>
  <si>
    <t>data fine</t>
  </si>
  <si>
    <t>giorni</t>
  </si>
  <si>
    <t>mesi</t>
  </si>
  <si>
    <t>anni</t>
  </si>
  <si>
    <t>Progetto</t>
  </si>
  <si>
    <t>Realizzazione</t>
  </si>
  <si>
    <t>Collaudo/Rilascio</t>
  </si>
  <si>
    <t>FTE medi annui</t>
  </si>
  <si>
    <t xml:space="preserve">guardare la corrispondenza tra durata lavori iniziali </t>
  </si>
  <si>
    <t>Costo medio</t>
  </si>
  <si>
    <t>e scorcio temporale tra data avvio progetto e data fine collaudo/rilascio</t>
  </si>
  <si>
    <t>durata lavori iniziali</t>
  </si>
  <si>
    <t>tasso % rata lavori Comune</t>
  </si>
  <si>
    <t>Ente erogatore contributo</t>
  </si>
  <si>
    <t>tasso  % rata lavori HL</t>
  </si>
  <si>
    <t>Importo lavori</t>
  </si>
  <si>
    <t>WACC</t>
  </si>
  <si>
    <t>Oneri di sicurezza sui lavori</t>
  </si>
  <si>
    <t>Ke</t>
  </si>
  <si>
    <t>spese tecniche e di gara per investimento</t>
  </si>
  <si>
    <t>spese da QE non investimento: somme a disposizione extra-canone a carico del Comune</t>
  </si>
  <si>
    <t>Durata commessa (anni)</t>
  </si>
  <si>
    <t>max 30 anni</t>
  </si>
  <si>
    <t>Totale QE</t>
  </si>
  <si>
    <t>anni finanziamento</t>
  </si>
  <si>
    <t>periodo variazione iniziale energia (anni)</t>
  </si>
  <si>
    <t>max 4 anni</t>
  </si>
  <si>
    <t>Totale investimento soggetto ad ammortamento</t>
  </si>
  <si>
    <t>Anno di inizio commessa e di avvio lavori</t>
  </si>
  <si>
    <t>Contributo economico iniziale da parte del Comune</t>
  </si>
  <si>
    <t>Anno di fine</t>
  </si>
  <si>
    <t>Totale investimento soggetto ad ammortamento - contributo economico iniziale da parte del Comune</t>
  </si>
  <si>
    <t>IVA %</t>
  </si>
  <si>
    <t xml:space="preserve">IRES </t>
  </si>
  <si>
    <t>IRAP</t>
  </si>
  <si>
    <t>spese predisposizione offerta e progetto di fattibilità</t>
  </si>
  <si>
    <t>CAPITALE CIRCOLANTE</t>
  </si>
  <si>
    <t xml:space="preserve">Giorni Pagamento (nr. giorni): </t>
  </si>
  <si>
    <t xml:space="preserve">Giorni Incasso (nr. giorni): </t>
  </si>
  <si>
    <t xml:space="preserve">Rotazione Magazzino (nr. giorni): </t>
  </si>
  <si>
    <t xml:space="preserve">Giorni incasso (%): </t>
  </si>
  <si>
    <t>investimento a debito</t>
  </si>
  <si>
    <t xml:space="preserve">Giorni pagamento (%): </t>
  </si>
  <si>
    <t>investimento equity</t>
  </si>
  <si>
    <t xml:space="preserve">Rotazione Magazzino (%): </t>
  </si>
  <si>
    <t>investimento totale</t>
  </si>
  <si>
    <t>somma sempre = 100%</t>
  </si>
  <si>
    <t xml:space="preserve">somma 100 % = </t>
  </si>
  <si>
    <t>ANNO</t>
  </si>
  <si>
    <t>%</t>
  </si>
  <si>
    <t>IMPORTO LAVORI + ONERI SICUREZZA LAVORI oltre IVA</t>
  </si>
  <si>
    <t>SPESE TECNICHE INIZIALI per INVESTIMENTO  oltre IVA</t>
  </si>
  <si>
    <t>IMPORTO LAVORI + ONERI SICUREZZA LAVORI + SPESE TECNICHE oltre IVA</t>
  </si>
  <si>
    <t>CONTRIBUTO INIZIALE COMUNE oltre IVA</t>
  </si>
  <si>
    <t>RATA</t>
  </si>
  <si>
    <t xml:space="preserve">QUOTA C </t>
  </si>
  <si>
    <t>QUOTA I</t>
  </si>
  <si>
    <t>K RES</t>
  </si>
  <si>
    <t xml:space="preserve">Unità di Budget:  </t>
  </si>
  <si>
    <t>Hera Luce</t>
  </si>
  <si>
    <t xml:space="preserve">Area:  </t>
  </si>
  <si>
    <t>Altri Servizi</t>
  </si>
  <si>
    <t xml:space="preserve">Business:   </t>
  </si>
  <si>
    <t>Pubblica Illuminazione</t>
  </si>
  <si>
    <t xml:space="preserve">Categoria:  </t>
  </si>
  <si>
    <t>Impianti</t>
  </si>
  <si>
    <t xml:space="preserve">Natura:  </t>
  </si>
  <si>
    <t>Nuove Opere/Iniziat.</t>
  </si>
  <si>
    <t xml:space="preserve">Motivazione:  </t>
  </si>
  <si>
    <t>Ritorno Economico</t>
  </si>
  <si>
    <t>Investimento "trasversale" a più UdB:</t>
  </si>
  <si>
    <t>No</t>
  </si>
  <si>
    <t xml:space="preserve">Riduzione impatto ambientale: </t>
  </si>
  <si>
    <t>Si</t>
  </si>
  <si>
    <t xml:space="preserve">Efficienza energetica: </t>
  </si>
  <si>
    <t>AUTORIZZAZIONE INVESTIMENTO CON RITORNO ECONOMICO</t>
  </si>
  <si>
    <t xml:space="preserve">ID Investimento:  </t>
  </si>
  <si>
    <t xml:space="preserve">Centro di Responsabilità :  </t>
  </si>
  <si>
    <t xml:space="preserve">Richiedente:  </t>
  </si>
  <si>
    <t>"Trasversale" a</t>
  </si>
  <si>
    <t xml:space="preserve">Data compilazione:  </t>
  </si>
  <si>
    <t>più UdB:</t>
  </si>
  <si>
    <t xml:space="preserve">Importo totale investimento  (vita intera) lordo contributi:  </t>
  </si>
  <si>
    <t xml:space="preserve">Importo previsto a Budget (€): </t>
  </si>
  <si>
    <t xml:space="preserve">Contributi c/capitale:   (€): </t>
  </si>
  <si>
    <t xml:space="preserve">% Contributo: </t>
  </si>
  <si>
    <t xml:space="preserve">Ente erogatore contributo: </t>
  </si>
  <si>
    <t xml:space="preserve">Importo Invest. Netto (€): </t>
  </si>
  <si>
    <t>VAN progetto (€)</t>
  </si>
  <si>
    <t>VAN azionista (€)</t>
  </si>
  <si>
    <t>ADSCR:</t>
  </si>
  <si>
    <t>LLCR:</t>
  </si>
  <si>
    <t xml:space="preserve">PARAMETRI </t>
  </si>
  <si>
    <t>DATI INVESTIMENTO E CLASSIFICAZIONE</t>
  </si>
  <si>
    <t>Imposte e ammortamenti</t>
  </si>
  <si>
    <t xml:space="preserve">IRES: </t>
  </si>
  <si>
    <t xml:space="preserve">IRAP: </t>
  </si>
  <si>
    <t xml:space="preserve">Aliquota Amm.to: </t>
  </si>
  <si>
    <t xml:space="preserve">Anno Avvio Amm.ti: </t>
  </si>
  <si>
    <t xml:space="preserve">Aliquota IVA Ricavi: </t>
  </si>
  <si>
    <t xml:space="preserve">Aliquota IVA Costi: </t>
  </si>
  <si>
    <t>Circolante</t>
  </si>
  <si>
    <t xml:space="preserve">Importo totale investimento
 (vita intera) lordo contributi 
c/to Capitale (€):  </t>
  </si>
  <si>
    <t>Altri parametri</t>
  </si>
  <si>
    <t xml:space="preserve">Unità di misura: </t>
  </si>
  <si>
    <t>€</t>
  </si>
  <si>
    <t xml:space="preserve">Anno di inizio dell'Investimento: </t>
  </si>
  <si>
    <t xml:space="preserve">Anno rif. Budget (presentazione scheda): </t>
  </si>
  <si>
    <t xml:space="preserve">TIR minimo "Standard":  </t>
  </si>
  <si>
    <t>Tipi Investimento per classi di valore a vita intera</t>
  </si>
  <si>
    <t xml:space="preserve">Importo previsto a Budget: </t>
  </si>
  <si>
    <t>PIANO DI LAVORO</t>
  </si>
  <si>
    <t>Anno</t>
  </si>
  <si>
    <t>Fasi</t>
  </si>
  <si>
    <t>Descrizione</t>
  </si>
  <si>
    <t>Avvio</t>
  </si>
  <si>
    <t>Fine</t>
  </si>
  <si>
    <t>01</t>
  </si>
  <si>
    <t>03</t>
  </si>
  <si>
    <t>05</t>
  </si>
  <si>
    <t>07</t>
  </si>
  <si>
    <t>09</t>
  </si>
  <si>
    <t>11</t>
  </si>
  <si>
    <t>2</t>
  </si>
  <si>
    <t>3</t>
  </si>
  <si>
    <t>4</t>
  </si>
  <si>
    <t>RIEPILOGO INVESTIMENTI</t>
  </si>
  <si>
    <t xml:space="preserve">Investimento Netto </t>
  </si>
  <si>
    <t>Investimento Lordo Totale</t>
  </si>
  <si>
    <t>Investimento di Mantenimento</t>
  </si>
  <si>
    <t>Investimento Lordo   (No mantenimento)</t>
  </si>
  <si>
    <t>Dismissioni (Valore Netto Contabile)</t>
  </si>
  <si>
    <t>DETTAGLIO COSTI INVESTIMENTO LORDO PER FASI</t>
  </si>
  <si>
    <t>FASI</t>
  </si>
  <si>
    <t>VdC</t>
  </si>
  <si>
    <t>Totale Costi</t>
  </si>
  <si>
    <t>Materiali</t>
  </si>
  <si>
    <t>Servizi</t>
  </si>
  <si>
    <t>Personale</t>
  </si>
  <si>
    <t>Avvio lavori</t>
  </si>
  <si>
    <t>Totale Investimento Lordo</t>
  </si>
  <si>
    <t xml:space="preserve">Nelle righe chiuse il calcolo ammortamenti </t>
  </si>
  <si>
    <t>SOMMA</t>
  </si>
  <si>
    <t>amm.ti investimenti anno 1</t>
  </si>
  <si>
    <t>amm.ti investimenti anno 2</t>
  </si>
  <si>
    <t>amm.ti investimenti anno 3</t>
  </si>
  <si>
    <t>amm.ti investimenti anno 4</t>
  </si>
  <si>
    <t>amm.ti investimenti anno 5</t>
  </si>
  <si>
    <t>amm.ti investimenti anno 6</t>
  </si>
  <si>
    <t>amm.ti investimenti anno 7</t>
  </si>
  <si>
    <t>amm.ti investimenti anno 8</t>
  </si>
  <si>
    <t>amm.ti investimenti anno 9</t>
  </si>
  <si>
    <t>amm.ti investimenti anno 10</t>
  </si>
  <si>
    <t>amm.ti investimenti anno 11</t>
  </si>
  <si>
    <t>amm.ti investimenti anno 12</t>
  </si>
  <si>
    <t>amm.ti investimenti anno 13</t>
  </si>
  <si>
    <t>amm.ti investimenti anno 14</t>
  </si>
  <si>
    <t>amm.ti investimenti anno 15</t>
  </si>
  <si>
    <t>amm.ti investimenti anno 16</t>
  </si>
  <si>
    <t>amm.ti investimenti anno 17</t>
  </si>
  <si>
    <t>amm.ti investimenti anno 18</t>
  </si>
  <si>
    <t>amm.ti investimenti anno 19</t>
  </si>
  <si>
    <t>amm.ti investimenti anno 20</t>
  </si>
  <si>
    <t>amm.ti investimenti anno 21</t>
  </si>
  <si>
    <t>amm.ti investimenti anno 22</t>
  </si>
  <si>
    <t>amm.ti investimenti anno 23</t>
  </si>
  <si>
    <t>amm.ti investimenti anno 24</t>
  </si>
  <si>
    <t>amm.ti investimenti anno 25</t>
  </si>
  <si>
    <t>amm.ti investimenti anno 26</t>
  </si>
  <si>
    <t>amm.ti investimenti anno 27</t>
  </si>
  <si>
    <t>amm.ti investimenti anno 28</t>
  </si>
  <si>
    <t>amm.ti investimenti anno 29</t>
  </si>
  <si>
    <t>amm.ti investimenti anno 30</t>
  </si>
  <si>
    <t>Nelle righe chiuse il calcolo risconti contributi conto capitale</t>
  </si>
  <si>
    <t>CONTO ECONOMICO</t>
  </si>
  <si>
    <t>Dati in €</t>
  </si>
  <si>
    <t>Canone</t>
  </si>
  <si>
    <t>di cui Quota Energia</t>
  </si>
  <si>
    <t>di cui Quota Lavori</t>
  </si>
  <si>
    <t>Altre Voci</t>
  </si>
  <si>
    <t>TOTALE RICAVI</t>
  </si>
  <si>
    <t>Var. Energia elettrica</t>
  </si>
  <si>
    <t>Var. Materiali</t>
  </si>
  <si>
    <t>TOTALE COSTI DIRETTI ESTERNI</t>
  </si>
  <si>
    <t xml:space="preserve">MARGINE DI CONTRIBUZIONE </t>
  </si>
  <si>
    <t>MC %</t>
  </si>
  <si>
    <t>Var. Personale</t>
  </si>
  <si>
    <t>TOTALE ALTRI COSTI</t>
  </si>
  <si>
    <t>EBITDA</t>
  </si>
  <si>
    <t>EBITDA %</t>
  </si>
  <si>
    <t>Ammortamenti</t>
  </si>
  <si>
    <t>EBIT</t>
  </si>
  <si>
    <t>EBIT %</t>
  </si>
  <si>
    <t>Oneri Finanziari</t>
  </si>
  <si>
    <t>EBT</t>
  </si>
  <si>
    <t>EBT %</t>
  </si>
  <si>
    <t>Ires</t>
  </si>
  <si>
    <t>Irap</t>
  </si>
  <si>
    <t>UTILE/PERDITA D'ESERCIZIO</t>
  </si>
  <si>
    <t>UTILE/PERDITA D'ESERCIZIO %</t>
  </si>
  <si>
    <t>CALCOLO IRES E IRAP</t>
  </si>
  <si>
    <t xml:space="preserve">calcolo IRES IRAP preso da PEF PF Curtarolo 30/03/2022 </t>
  </si>
  <si>
    <t>anno sì/no</t>
  </si>
  <si>
    <t>DEDUZIONE INTERESSI PASSIVI</t>
  </si>
  <si>
    <t>% deduzione</t>
  </si>
  <si>
    <t>oneri finanziari</t>
  </si>
  <si>
    <t>quota indeducibile</t>
  </si>
  <si>
    <t>quota ROL riportabile</t>
  </si>
  <si>
    <t>interessi passivi indeducibili anno</t>
  </si>
  <si>
    <t>interessi passivi esercizi precedenti deducibili</t>
  </si>
  <si>
    <t>interessi passivi indeducibili Tot</t>
  </si>
  <si>
    <t>REDDITO IMPONIBILE</t>
  </si>
  <si>
    <t>Reddito imponibile</t>
  </si>
  <si>
    <t>Perdita riportabile</t>
  </si>
  <si>
    <t>Perdita utilizzabile</t>
  </si>
  <si>
    <t>IRES  IRAP</t>
  </si>
  <si>
    <t>imposte anticipate anno per perdita</t>
  </si>
  <si>
    <t>imposte anticipate anno per interessi indeducibili</t>
  </si>
  <si>
    <t>Recupero imposte anticipate</t>
  </si>
  <si>
    <t>IRES corrente</t>
  </si>
  <si>
    <t>IRES</t>
  </si>
  <si>
    <t>Capitale Circolante</t>
  </si>
  <si>
    <t>Crediti Commerciali</t>
  </si>
  <si>
    <t>Magazzino</t>
  </si>
  <si>
    <t>Debiti Commerciali</t>
  </si>
  <si>
    <t>Variazione Capitale Circolante</t>
  </si>
  <si>
    <t>RENDICONTO FINANZIARIO (VAN E TIR DI PROGETTO)</t>
  </si>
  <si>
    <t>+ EBIT</t>
  </si>
  <si>
    <t xml:space="preserve">+ Ammortamenti </t>
  </si>
  <si>
    <t>- Imposte (su EBIT)</t>
  </si>
  <si>
    <t>- Investimenti</t>
  </si>
  <si>
    <t>- Variazione Circolante</t>
  </si>
  <si>
    <t>Cash Flow</t>
  </si>
  <si>
    <t>Discounted Cash Flow</t>
  </si>
  <si>
    <t>RENDICONTO FINANZIARIO (VAN E TIR DELL'AZIONISTA)</t>
  </si>
  <si>
    <t>- Imposte</t>
  </si>
  <si>
    <t>+ Erogazione finanziamenti</t>
  </si>
  <si>
    <t>- Rimborso finanziamenti</t>
  </si>
  <si>
    <t>PAYBACK PERIOD</t>
  </si>
  <si>
    <t>PAYBACK PERIOD (anni) Discounted Cash Flow</t>
  </si>
  <si>
    <t>PAYBACK PERIOD (anni) Cash Flow</t>
  </si>
  <si>
    <t>RITORNO DEGLI INVESTIMENTI</t>
  </si>
  <si>
    <t>NR. ANNI</t>
  </si>
  <si>
    <r>
      <t>INDICATORI DI SOLIDIT</t>
    </r>
    <r>
      <rPr>
        <b/>
        <sz val="18"/>
        <color indexed="9"/>
        <rFont val="Calibri"/>
        <family val="2"/>
      </rPr>
      <t>À</t>
    </r>
  </si>
  <si>
    <t>CALCOLO ADSCR E LLCR</t>
  </si>
  <si>
    <t>Flusso di cassa a servizio del debito</t>
  </si>
  <si>
    <t>Rata</t>
  </si>
  <si>
    <t>DSCR</t>
  </si>
  <si>
    <t>DINAMICA PATRIMONIALE</t>
  </si>
  <si>
    <t>Immobilizzazioni nette</t>
  </si>
  <si>
    <t>CCN</t>
  </si>
  <si>
    <t>CIN</t>
  </si>
  <si>
    <t>Utile/Perdita d'esercizio</t>
  </si>
  <si>
    <t>Finanziamento a M/L Termine</t>
  </si>
  <si>
    <t>Saldo Banche a B/T/ (Cassa)</t>
  </si>
  <si>
    <t>Fabbisogno finanziario</t>
  </si>
  <si>
    <t>Fonti di copertura</t>
  </si>
  <si>
    <t>Spese predisposizione offerta e progetto di fattibilità</t>
  </si>
  <si>
    <t>Altri costi (spese per incentivi, per funzioni tecniche, pubblicità e contratto, analisi e collaudi)</t>
  </si>
  <si>
    <t>Comune di Lodi (LO)</t>
  </si>
  <si>
    <t>Importo per lavori di ristrutturazione</t>
  </si>
  <si>
    <t>Oneri per la sicurezza, per lavori di ristrutturazione, non soggetti a ribasso d'asta</t>
  </si>
  <si>
    <t>Corrispettivi coordinamento sicurezza in fase di progettazione</t>
  </si>
  <si>
    <t>Spese per collaudi</t>
  </si>
  <si>
    <t>€ + IVA anno 1</t>
  </si>
  <si>
    <t>PL</t>
  </si>
  <si>
    <t>LANTERNE SEM</t>
  </si>
  <si>
    <t>gestione + manutenzione + oneri sicurezza gestione e manutenzione IP</t>
  </si>
  <si>
    <t>gestione + manutenzione + oneri sicurezza gestione e manutenzione IS</t>
  </si>
  <si>
    <t>validazione e approvazione PE</t>
  </si>
  <si>
    <t>Validazione e approvazione PE</t>
  </si>
  <si>
    <t xml:space="preserve">QUADRO ECONOMICO </t>
  </si>
  <si>
    <t>IMPORTO LAVORI</t>
  </si>
  <si>
    <t>totale importo lavori</t>
  </si>
  <si>
    <t>SPESE TECNICHE</t>
  </si>
  <si>
    <t>totale spese tecniche</t>
  </si>
  <si>
    <t>SOMME A DISPOSIZIONE PER L'AMMINISTRAZIONE COMUNALE</t>
  </si>
  <si>
    <t xml:space="preserve">Corrispettivi Progettazione  esecutiva </t>
  </si>
  <si>
    <t>Corrispettivi per la verifica del progetto esecutivo (QbIII.09)</t>
  </si>
  <si>
    <t xml:space="preserve">Corrispettivi Direzione lavori (QcI.01 - QcI.10)  </t>
  </si>
  <si>
    <t>totale somme a disposizione</t>
  </si>
  <si>
    <t>Somme a disposizione per la procedura di gara e contratto</t>
  </si>
  <si>
    <t>TOTALE QUADRO ECONOMICO</t>
  </si>
  <si>
    <t>di cui Quota Manutenzione + Gestione + oneri della sicurezza per le attività di gestione e manutenzione IP</t>
  </si>
  <si>
    <t>di cui Quota Manutenzione + Gestione + oneri della sicurezza per le attività di gestione e manutenzione IS</t>
  </si>
  <si>
    <t>I</t>
  </si>
  <si>
    <t>I.1</t>
  </si>
  <si>
    <t>I.2</t>
  </si>
  <si>
    <t>II</t>
  </si>
  <si>
    <t>II.1</t>
  </si>
  <si>
    <t>II.2</t>
  </si>
  <si>
    <t>II.3</t>
  </si>
  <si>
    <t>III</t>
  </si>
  <si>
    <t>III.1</t>
  </si>
  <si>
    <t>III.2</t>
  </si>
  <si>
    <t>III.3</t>
  </si>
  <si>
    <t>III.4</t>
  </si>
  <si>
    <t>III.5</t>
  </si>
  <si>
    <t>anno 1</t>
  </si>
  <si>
    <t>anno 2</t>
  </si>
  <si>
    <t>anno 3</t>
  </si>
  <si>
    <t>anno 4</t>
  </si>
  <si>
    <t>anno 5</t>
  </si>
  <si>
    <t>anno 6</t>
  </si>
  <si>
    <t>anno 7</t>
  </si>
  <si>
    <t>anno 8</t>
  </si>
  <si>
    <t>anno 9</t>
  </si>
  <si>
    <t>anno 10</t>
  </si>
  <si>
    <t>anno 11</t>
  </si>
  <si>
    <t>anno 12</t>
  </si>
  <si>
    <t>anno 13</t>
  </si>
  <si>
    <t>anno 14</t>
  </si>
  <si>
    <t>anno 15</t>
  </si>
  <si>
    <t>anno 16</t>
  </si>
  <si>
    <t>anno 17</t>
  </si>
  <si>
    <t>anno 18</t>
  </si>
  <si>
    <t>anno 19</t>
  </si>
  <si>
    <t>anno 20</t>
  </si>
  <si>
    <t>anno 21</t>
  </si>
  <si>
    <t>anno 22</t>
  </si>
  <si>
    <t>anno 23</t>
  </si>
  <si>
    <t>indennizzo ex art. 19 del D.Lgs 23 dicembre 2022 n.201</t>
  </si>
  <si>
    <t>Manutenzione - manodopera</t>
  </si>
  <si>
    <t>Manutenzione - attrezzature</t>
  </si>
  <si>
    <t>Manutenzione - spese tecniche</t>
  </si>
  <si>
    <t>call center</t>
  </si>
  <si>
    <t>sistemi informativi</t>
  </si>
  <si>
    <t>reperibilità e pronto intervento</t>
  </si>
  <si>
    <t>materiale di consumo</t>
  </si>
  <si>
    <t>Manutenzione - materiale</t>
  </si>
  <si>
    <t xml:space="preserve"> ILLUMINAZIONE PUBBLICA - GESTIONE</t>
  </si>
  <si>
    <t>DURATA INTERVENTO</t>
  </si>
  <si>
    <t>CADENZA ANNUALE</t>
  </si>
  <si>
    <t>n° elementi</t>
  </si>
  <si>
    <t>Materiale</t>
  </si>
  <si>
    <t>tempo per prestazione individuale</t>
  </si>
  <si>
    <t>livello 1</t>
  </si>
  <si>
    <t>livello 2</t>
  </si>
  <si>
    <t>livello 3</t>
  </si>
  <si>
    <t>minuti</t>
  </si>
  <si>
    <t>n.</t>
  </si>
  <si>
    <t>RIEPILOGO, costo</t>
  </si>
  <si>
    <t>RIEPILOGO, ore lavoro/anno</t>
  </si>
  <si>
    <t>CABINE, costo</t>
  </si>
  <si>
    <t>CABINE, ore lavoro/anno</t>
  </si>
  <si>
    <t>PUNTI LUCE, costo</t>
  </si>
  <si>
    <t>PUNTI LUCE, ore lavoro/anno</t>
  </si>
  <si>
    <t>MANUTENZIONE, costo</t>
  </si>
  <si>
    <t>MANUTENZIONE, ore lavoro/anno</t>
  </si>
  <si>
    <t>FATTORE DI CONTEMPORANEITA' ed OTTIMIZZAZIONE</t>
  </si>
  <si>
    <t>calcolo ore lavoro seriale IP</t>
  </si>
  <si>
    <t>CABINE ALIMENTAZIONE</t>
  </si>
  <si>
    <t>Tempo per intervento (min/cab/op)</t>
  </si>
  <si>
    <t>Somma Tempi Anno (min/cab/yrs)</t>
  </si>
  <si>
    <t>Descrizione CADENZA Annotazioni</t>
  </si>
  <si>
    <t>Armadio di comando e protezione</t>
  </si>
  <si>
    <t>N.ro operai</t>
  </si>
  <si>
    <t>N.ro interventi per anno</t>
  </si>
  <si>
    <t>Intervento ogni X anni</t>
  </si>
  <si>
    <t>Verifica funzionale involucro</t>
  </si>
  <si>
    <t>prestazione effettuata in occasione della lettura del contatore</t>
  </si>
  <si>
    <t>Verifica funzionale chiusura a chiave della portella</t>
  </si>
  <si>
    <t>Verifica del grado di isolamento interno ed esterno</t>
  </si>
  <si>
    <t>Lettura del gruppo di misura</t>
  </si>
  <si>
    <t>Apparecchiature in cabina</t>
  </si>
  <si>
    <t>materiali manutenzioni</t>
  </si>
  <si>
    <t>Pulizia generale</t>
  </si>
  <si>
    <t>Verifica dello stato di conservazione carpenterie</t>
  </si>
  <si>
    <t>Verifica funzionale strumentazione</t>
  </si>
  <si>
    <t>Controllo surriscaldamenti</t>
  </si>
  <si>
    <t>Verifica dello stato collegamenti di terra</t>
  </si>
  <si>
    <t>Verifica funzionale interruttore accensione ed eventuale taratura</t>
  </si>
  <si>
    <t>Verifica dello stato di conservazione di cavi e cablaggi</t>
  </si>
  <si>
    <t>Verifica dello stato di conservazione delle morsettiere</t>
  </si>
  <si>
    <t>Verifica funzionale fusibili</t>
  </si>
  <si>
    <t>Verifica funzionale differenziali</t>
  </si>
  <si>
    <t>Verifica funzionale quadro sinottico</t>
  </si>
  <si>
    <t>Misura del fattore di potenza delle linee</t>
  </si>
  <si>
    <t>Verifica funzionale delle protezioni e il loro coordinamento</t>
  </si>
  <si>
    <t>Rifasamento in cabina</t>
  </si>
  <si>
    <t xml:space="preserve">Verifica funzionale impianto </t>
  </si>
  <si>
    <t>Verifica funzionale centralina</t>
  </si>
  <si>
    <t>Verifica ed equilibratura fasi</t>
  </si>
  <si>
    <t>Verifica funzionale condensatori</t>
  </si>
  <si>
    <t>Controlli Cabina</t>
  </si>
  <si>
    <t>Controllo rispondenze schema elettrico</t>
  </si>
  <si>
    <t>Verifica rispondenza targhette identificativi circuiti ed eventuale integrazione, sostituzione, correzione</t>
  </si>
  <si>
    <t>Rete elettrica</t>
  </si>
  <si>
    <t>verifiche</t>
  </si>
  <si>
    <t>Impianti di terra</t>
  </si>
  <si>
    <t>% cab interessate</t>
  </si>
  <si>
    <t>verifiche messa a terra</t>
  </si>
  <si>
    <t>PUNTI LUCE</t>
  </si>
  <si>
    <t>Tempo per intervento (min/pl)</t>
  </si>
  <si>
    <t>Somma Tempi Anno (min/pl/yrs)</t>
  </si>
  <si>
    <t>Corpo dell’apparecchio</t>
  </si>
  <si>
    <t>Tempo per intervento (min/pl/op)</t>
  </si>
  <si>
    <t>Controllo visivo integrità dei corpi illuminanti</t>
  </si>
  <si>
    <t>Giro Del Guardiano</t>
  </si>
  <si>
    <t>Pulizia dell’involucro esterno</t>
  </si>
  <si>
    <t>Verifica funzionale dell’involucro esterno</t>
  </si>
  <si>
    <t>Pulizia dei riflettori e rifrattori</t>
  </si>
  <si>
    <t>Verifica della chiusura e dell’integrità dei rifrattori/riflettori</t>
  </si>
  <si>
    <t>Pulizia dei diffusori</t>
  </si>
  <si>
    <t>Pulizia di coppe di chiusura</t>
  </si>
  <si>
    <t>Verifica della chiusura e dell’integrità delle coppe di chiusura</t>
  </si>
  <si>
    <t>Verifica funzionale</t>
  </si>
  <si>
    <t>Verifica stato di usura dei portalampada</t>
  </si>
  <si>
    <t>Pozzetti dell’impianto</t>
  </si>
  <si>
    <t>Verifica che i pozzetti siano nella posizione originaria nella quale sono stati installati, ossia non devono affiorare o affondare a seguito di assestamenti o cedimenti del terreno</t>
  </si>
  <si>
    <t>Verifica che i pozzetti in calcestruzzo o in muratura presentino segni o rotture o fessurazioni a seguito di schiacciamenti dovuti al transito di autoveicoli pesanti o all’esecuzione di opere edili stradali nelle immediate vicinanze</t>
  </si>
  <si>
    <t>Pali e sbracci</t>
  </si>
  <si>
    <t>Controllo visivo integrità dei pali e dei sostegni o integrità e copertura dell'armatura dei pali CAC</t>
  </si>
  <si>
    <t>Verifica delle basi, in vicinanza della sezione di incastro</t>
  </si>
  <si>
    <t>Verifica dello stato degli attacchi degli sbracci e delle paline installae a muro e su pali CAC</t>
  </si>
  <si>
    <t xml:space="preserve">Verifica dell'allineamento dell'asse rispetto alla verticale   </t>
  </si>
  <si>
    <t>Verifica delle condizioni di sicurezza statica</t>
  </si>
  <si>
    <t>Controllo della portella di chiusura dei pali</t>
  </si>
  <si>
    <t>Sospensioni</t>
  </si>
  <si>
    <t xml:space="preserve">Verifica visiva degli attacchi  </t>
  </si>
  <si>
    <t xml:space="preserve">Verifica visiva delle condizioni di sicurezza statica  </t>
  </si>
  <si>
    <t>Verifica visiva dello stato di funi e ganci</t>
  </si>
  <si>
    <t>MANUTENZIONI</t>
  </si>
  <si>
    <t>Manutenzioni</t>
  </si>
  <si>
    <t>costo f.p.o. esclusa manodopera e noli</t>
  </si>
  <si>
    <t>% pl interessati</t>
  </si>
  <si>
    <t>cambio lampade</t>
  </si>
  <si>
    <t>altra manutenzione ordinaria (accenditori, condensatori, fusibili, minuteria quadri, ecc.)</t>
  </si>
  <si>
    <t>cambio armatura</t>
  </si>
  <si>
    <t>cambio sostegni</t>
  </si>
  <si>
    <t>verniciatura sostegni</t>
  </si>
  <si>
    <t>altra manutenzione straordinaria conservativa (interventi su linee, quadri, pali)</t>
  </si>
  <si>
    <t>ANALISI DEI COSTI DI GESTIONE E DI ESERCIZIO DA SOSTENERE</t>
  </si>
  <si>
    <t>ELEMENTI BASE</t>
  </si>
  <si>
    <t>Q.tà</t>
  </si>
  <si>
    <t>punti luce</t>
  </si>
  <si>
    <t>costo orario della mano d'opera (tab. ministero)</t>
  </si>
  <si>
    <t>cabine alimentazione</t>
  </si>
  <si>
    <t>percentuale apparecchi a scarica</t>
  </si>
  <si>
    <t>LIVELLO DI SERVIZIO (scheda 8 CAM Servizi IP)</t>
  </si>
  <si>
    <t>RIEPILOGO costi diretti</t>
  </si>
  <si>
    <t>Ore</t>
  </si>
  <si>
    <t>Costo totale manodopera</t>
  </si>
  <si>
    <t>materiale</t>
  </si>
  <si>
    <t>Totale</t>
  </si>
  <si>
    <t>IP - Illuminazione Pubblica</t>
  </si>
  <si>
    <t>servizio</t>
  </si>
  <si>
    <t>attrezzature</t>
  </si>
  <si>
    <t xml:space="preserve">Servizi Centralizzati:  </t>
  </si>
  <si>
    <t>elementi</t>
  </si>
  <si>
    <t>costo unitario</t>
  </si>
  <si>
    <t>pubblica illuminazione</t>
  </si>
  <si>
    <t>spese tecniche</t>
  </si>
  <si>
    <t>sistema informativo</t>
  </si>
  <si>
    <t>totale parziale</t>
  </si>
  <si>
    <t>TOTALE COSTI PI</t>
  </si>
  <si>
    <t xml:space="preserve">livello </t>
  </si>
  <si>
    <t>operaio livello C2</t>
  </si>
  <si>
    <t>Var. Manodopera</t>
  </si>
  <si>
    <t>Var. Attrezzature</t>
  </si>
  <si>
    <t>Var. Spese tecniche</t>
  </si>
  <si>
    <t>Var. call center</t>
  </si>
  <si>
    <t>Var. sistemi informativi</t>
  </si>
  <si>
    <t>Var. reperibilità e pronto intervento</t>
  </si>
  <si>
    <t>Var. materiale di consumo</t>
  </si>
  <si>
    <t>costi generali</t>
  </si>
  <si>
    <t>spese generali</t>
  </si>
  <si>
    <t>FTE medi annui personale</t>
  </si>
  <si>
    <t>personale</t>
  </si>
  <si>
    <t>check</t>
  </si>
  <si>
    <t>Capitale sociale</t>
  </si>
  <si>
    <t xml:space="preserve">Riserve </t>
  </si>
  <si>
    <t>servizio luminarie</t>
  </si>
  <si>
    <t>di cui servizio luminarie</t>
  </si>
  <si>
    <t>WACC= Ke*(E/(D+E))+Kd*(1-t)*(D/(D+E))</t>
  </si>
  <si>
    <t>E</t>
  </si>
  <si>
    <t>Capitale di rischio</t>
  </si>
  <si>
    <t>D</t>
  </si>
  <si>
    <t>Indebitamento</t>
  </si>
  <si>
    <t xml:space="preserve">Tasso di rendimento del capitale di rischio </t>
  </si>
  <si>
    <t>Kd</t>
  </si>
  <si>
    <t>Tasso di rendimento sull'indebitamento</t>
  </si>
  <si>
    <t>t</t>
  </si>
  <si>
    <t>aliquota fiscale per il calcolo del beneficio derivante dalla deducibilità,</t>
  </si>
  <si>
    <t>ai fini delle imposte dirette IRES, degli oneri finanziari (scudo fiscale)</t>
  </si>
  <si>
    <t>WACC post-tax</t>
  </si>
  <si>
    <t>Calcolo del costo del capitale di rischio (Ke)</t>
  </si>
  <si>
    <r>
      <t>R</t>
    </r>
    <r>
      <rPr>
        <i/>
        <sz val="11"/>
        <rFont val="Calibri"/>
        <family val="2"/>
        <scheme val="minor"/>
      </rPr>
      <t>f</t>
    </r>
  </si>
  <si>
    <t xml:space="preserve">Risk Free Rate </t>
  </si>
  <si>
    <t>Media BTP 10Y</t>
  </si>
  <si>
    <r>
      <t>(R</t>
    </r>
    <r>
      <rPr>
        <i/>
        <sz val="11"/>
        <rFont val="Calibri"/>
        <family val="2"/>
        <scheme val="minor"/>
      </rPr>
      <t>m</t>
    </r>
    <r>
      <rPr>
        <sz val="11"/>
        <rFont val="Calibri"/>
        <family val="2"/>
        <scheme val="minor"/>
      </rPr>
      <t xml:space="preserve"> - R</t>
    </r>
    <r>
      <rPr>
        <i/>
        <sz val="11"/>
        <rFont val="Calibri"/>
        <family val="2"/>
        <scheme val="minor"/>
      </rPr>
      <t>f</t>
    </r>
    <r>
      <rPr>
        <sz val="11"/>
        <rFont val="Calibri"/>
        <family val="2"/>
        <scheme val="minor"/>
      </rPr>
      <t>)</t>
    </r>
  </si>
  <si>
    <t xml:space="preserve">Equity Risk Premium </t>
  </si>
  <si>
    <t>Damodaran</t>
  </si>
  <si>
    <t>Beta</t>
  </si>
  <si>
    <t>Beta re-levered</t>
  </si>
  <si>
    <t>Elaborazione dati Bloomberg</t>
  </si>
  <si>
    <t>Costo del capitale di rischio (Ke)</t>
  </si>
  <si>
    <t>Rischio non sistematico</t>
  </si>
  <si>
    <t>Patrimonio netto su totale fonti</t>
  </si>
  <si>
    <t>PN / Tot fonti GHera 4Q 2024</t>
  </si>
  <si>
    <t>Incidenza del capitale sul WACC</t>
  </si>
  <si>
    <t>Calcolo del costo dell'indebitamento (Kd)</t>
  </si>
  <si>
    <t>Costo indebitamento finanziario</t>
  </si>
  <si>
    <t>Costo indebitamento M/L GHera forecast</t>
  </si>
  <si>
    <t>Scudo fiscale</t>
  </si>
  <si>
    <t>Teorico IRES</t>
  </si>
  <si>
    <t>Costo dell'indebitamento (Kd)</t>
  </si>
  <si>
    <t>PFN su totale fonti</t>
  </si>
  <si>
    <t>Incidenza del debito sul WACC</t>
  </si>
  <si>
    <t>WACC post-tax "Utility"</t>
  </si>
  <si>
    <t>COSTI</t>
  </si>
  <si>
    <t>RICAVI</t>
  </si>
  <si>
    <t>Quota annua lavori/servizi extra a scelta del Comune</t>
  </si>
  <si>
    <t>di cui lavori/servizi a scelta del Comune</t>
  </si>
  <si>
    <t>lavori/servizi a scelta del Comune</t>
  </si>
  <si>
    <t>opz1 (con quota annua lavori/servizi extra a scelta del Comune</t>
  </si>
  <si>
    <t>opz1 (senza quota annua lavori/servizi extra a scelta del Comune)</t>
  </si>
  <si>
    <t>interventi per rinnovo tecnologico</t>
  </si>
  <si>
    <t>0/01</t>
  </si>
  <si>
    <t>31/01</t>
  </si>
  <si>
    <t>01/02</t>
  </si>
  <si>
    <t>28/02</t>
  </si>
  <si>
    <t>01/03</t>
  </si>
  <si>
    <t>01/12</t>
  </si>
  <si>
    <t>30/11</t>
  </si>
  <si>
    <t>31/12</t>
  </si>
  <si>
    <t>gennaio</t>
  </si>
  <si>
    <t>febbraio</t>
  </si>
  <si>
    <t>marzo</t>
  </si>
  <si>
    <t>novembre</t>
  </si>
  <si>
    <t xml:space="preserve">dicembre </t>
  </si>
  <si>
    <t>dicembre</t>
  </si>
  <si>
    <t xml:space="preserve">gennaio </t>
  </si>
  <si>
    <t>anno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</si>
</sst>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2">
    <numFmt numFmtId="6" formatCode="#,##0\ &quot;€&quot;;[Red]\-#,##0\ &quot;€&quot;"/>
    <numFmt numFmtId="8" formatCode="#,##0.00\ &quot;€&quot;;[Red]\-#,##0.00\ &quot;€&quot;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&quot;€&quot;\ #,##0.00;[Red]\-&quot;€&quot;\ #,##0.00"/>
    <numFmt numFmtId="165" formatCode="_-&quot;€&quot;\ * #,##0.00_-;\-&quot;€&quot;\ * #,##0.00_-;_-&quot;€&quot;\ * &quot;-&quot;??_-;_-@_-"/>
    <numFmt numFmtId="166" formatCode="#,##0_ ;\-#,##0\ "/>
    <numFmt numFmtId="167" formatCode="_-&quot;€&quot;\ * #,##0_-;\-&quot;€&quot;\ * #,##0_-;_-&quot;€&quot;\ * &quot;-&quot;??_-;_-@_-"/>
    <numFmt numFmtId="168" formatCode="0.00\ &quot;€/pl&quot;"/>
    <numFmt numFmtId="169" formatCode="0\ &quot;W/pl&quot;"/>
    <numFmt numFmtId="170" formatCode="0\ &quot;€/pl&quot;"/>
    <numFmt numFmtId="171" formatCode="0.0%"/>
    <numFmt numFmtId="172" formatCode="0.0"/>
    <numFmt numFmtId="173" formatCode="#,##0;\(#,##0\);\-"/>
    <numFmt numFmtId="174" formatCode="0_ ;[Red]\-0\ "/>
    <numFmt numFmtId="175" formatCode="#,##0.000;\(#,##0.000\);\-"/>
    <numFmt numFmtId="176" formatCode="0.0%_);\(0.0%\)"/>
    <numFmt numFmtId="177" formatCode="0.000%"/>
    <numFmt numFmtId="178" formatCode="_-* #,##0_-;\-* #,##0_-;_-* &quot;-&quot;??_-;_-@_-"/>
    <numFmt numFmtId="179" formatCode="#,##0.0_);\(#,##0.0\)"/>
    <numFmt numFmtId="180" formatCode="_-[$€]\ * #,##0.00_-;\-[$€]\ * #,##0.00_-;_-[$€]\ * &quot;-&quot;??_-;_-@_-"/>
    <numFmt numFmtId="181" formatCode="_-&quot;L.&quot;\ * #,##0_-;\-&quot;L.&quot;\ * #,##0_-;_-&quot;L.&quot;\ * &quot;-&quot;_-;_-@_-"/>
    <numFmt numFmtId="182" formatCode="&quot;€&quot;\ #,##0;[Red]\-&quot;€&quot;\ #,##0"/>
    <numFmt numFmtId="183" formatCode="#,##0.0;\(#,##0.0\);\-"/>
    <numFmt numFmtId="184" formatCode="[$-410]mmmm\-yy;@"/>
    <numFmt numFmtId="185" formatCode="[$-410]mmmm\ yyyy;@"/>
    <numFmt numFmtId="186" formatCode="0.00000\ &quot;€/kWh&quot;"/>
    <numFmt numFmtId="187" formatCode="#,##0.00000"/>
    <numFmt numFmtId="188" formatCode="#,##0.00\ &quot;€&quot;;[Red]#,##0.00\ &quot;€&quot;"/>
    <numFmt numFmtId="189" formatCode="#,##0\ &quot;€&quot;;[Red]#,##0\ &quot;€&quot;"/>
    <numFmt numFmtId="190" formatCode="0.0000"/>
  </numFmts>
  <fonts count="9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b/>
      <sz val="11"/>
      <name val="Arial"/>
      <family val="2"/>
    </font>
    <font>
      <b/>
      <u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8"/>
      <color indexed="9"/>
      <name val="Arial"/>
      <family val="2"/>
    </font>
    <font>
      <b/>
      <sz val="18"/>
      <color indexed="9"/>
      <name val="Calibri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i/>
      <sz val="10"/>
      <name val="Arial"/>
      <family val="2"/>
    </font>
    <font>
      <sz val="10"/>
      <color indexed="9"/>
      <name val="Arial"/>
      <family val="2"/>
    </font>
    <font>
      <b/>
      <sz val="11"/>
      <name val="Calibri"/>
      <family val="2"/>
    </font>
    <font>
      <b/>
      <sz val="8"/>
      <name val="Calibri"/>
      <family val="2"/>
    </font>
    <font>
      <b/>
      <sz val="8"/>
      <color indexed="9"/>
      <name val="Calibri"/>
      <family val="2"/>
    </font>
    <font>
      <b/>
      <sz val="10"/>
      <color rgb="FFFF0000"/>
      <name val="Arial"/>
      <family val="2"/>
    </font>
    <font>
      <sz val="8"/>
      <color theme="0"/>
      <name val="Arial"/>
      <family val="2"/>
    </font>
    <font>
      <sz val="10"/>
      <color indexed="9"/>
      <name val="Calibri"/>
      <family val="2"/>
    </font>
    <font>
      <sz val="10"/>
      <color theme="3"/>
      <name val="Calibri"/>
      <family val="2"/>
    </font>
    <font>
      <sz val="18"/>
      <color indexed="9"/>
      <name val="Calibri"/>
      <family val="2"/>
    </font>
    <font>
      <sz val="10"/>
      <color indexed="12"/>
      <name val="Times New Roman"/>
      <family val="1"/>
    </font>
    <font>
      <sz val="11"/>
      <color theme="1"/>
      <name val="Wingdings"/>
      <charset val="2"/>
    </font>
    <font>
      <b/>
      <sz val="14"/>
      <color indexed="17"/>
      <name val="Wingdings"/>
      <charset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8"/>
      <name val="Calibri"/>
      <family val="2"/>
    </font>
    <font>
      <sz val="18"/>
      <color theme="1"/>
      <name val="Calibri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sz val="20"/>
      <color indexed="9"/>
      <name val="Calibri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b/>
      <sz val="11"/>
      <color indexed="9"/>
      <name val="Arial"/>
      <family val="2"/>
    </font>
    <font>
      <b/>
      <i/>
      <sz val="11"/>
      <color indexed="9"/>
      <name val="Arial"/>
      <family val="2"/>
    </font>
    <font>
      <sz val="12"/>
      <color indexed="8"/>
      <name val="Tahoma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i/>
      <sz val="22"/>
      <color indexed="15"/>
      <name val="Arial"/>
      <family val="2"/>
    </font>
    <font>
      <i/>
      <sz val="12"/>
      <color indexed="8"/>
      <name val="Arial"/>
      <family val="2"/>
    </font>
    <font>
      <sz val="12"/>
      <color indexed="9"/>
      <name val="Arial"/>
      <family val="2"/>
    </font>
    <font>
      <i/>
      <sz val="12"/>
      <color indexed="9"/>
      <name val="Arial"/>
      <family val="2"/>
    </font>
    <font>
      <sz val="11"/>
      <color indexed="8"/>
      <name val="Tahoma"/>
      <family val="2"/>
    </font>
    <font>
      <sz val="11"/>
      <color indexed="9"/>
      <name val="Arial"/>
      <family val="2"/>
    </font>
    <font>
      <i/>
      <sz val="11"/>
      <color indexed="9"/>
      <name val="Arial"/>
      <family val="2"/>
    </font>
    <font>
      <b/>
      <i/>
      <sz val="20"/>
      <color indexed="15"/>
      <name val="Arial"/>
      <family val="2"/>
    </font>
    <font>
      <sz val="12"/>
      <color indexed="14"/>
      <name val="Arial"/>
      <family val="2"/>
    </font>
    <font>
      <b/>
      <i/>
      <sz val="10"/>
      <name val="Arial"/>
      <family val="2"/>
    </font>
    <font>
      <sz val="11"/>
      <color theme="0"/>
      <name val="Calibri"/>
      <family val="2"/>
      <scheme val="minor"/>
    </font>
    <font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1"/>
      <color rgb="FFFF0000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name val="Calibri"/>
      <family val="2"/>
    </font>
    <font>
      <u/>
      <sz val="10"/>
      <name val="Calibri"/>
      <family val="2"/>
    </font>
    <font>
      <u/>
      <sz val="11"/>
      <color theme="1"/>
      <name val="Calibri"/>
      <family val="2"/>
      <scheme val="minor"/>
    </font>
    <font>
      <u/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Tahoma"/>
      <family val="2"/>
    </font>
    <font>
      <sz val="12"/>
      <color rgb="FF000000"/>
      <name val="Tahoma"/>
      <family val="2"/>
    </font>
    <font>
      <i/>
      <sz val="11"/>
      <color theme="1"/>
      <name val="Tahoma"/>
      <family val="2"/>
    </font>
    <font>
      <b/>
      <sz val="12"/>
      <name val="Tahoma"/>
      <family val="2"/>
    </font>
    <font>
      <i/>
      <sz val="12"/>
      <color rgb="FF000000"/>
      <name val="Tahoma"/>
      <family val="2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8"/>
      <name val="Arial Narrow"/>
      <family val="2"/>
    </font>
    <font>
      <b/>
      <sz val="18"/>
      <color indexed="10"/>
      <name val="Arial"/>
      <family val="2"/>
    </font>
    <font>
      <b/>
      <sz val="8"/>
      <color rgb="FFFF0000"/>
      <name val="Arial"/>
      <family val="2"/>
    </font>
    <font>
      <b/>
      <sz val="8"/>
      <color indexed="10"/>
      <name val="Arial"/>
      <family val="2"/>
    </font>
    <font>
      <b/>
      <sz val="8"/>
      <name val="Arial Narrow"/>
      <family val="2"/>
    </font>
    <font>
      <b/>
      <sz val="8"/>
      <color indexed="10"/>
      <name val="Arial Narrow"/>
      <family val="2"/>
    </font>
    <font>
      <sz val="8"/>
      <color indexed="10"/>
      <name val="Arial"/>
      <family val="2"/>
    </font>
    <font>
      <i/>
      <sz val="8"/>
      <name val="Arial"/>
      <family val="2"/>
    </font>
    <font>
      <sz val="9"/>
      <color indexed="8"/>
      <name val="Calibri"/>
      <family val="2"/>
    </font>
    <font>
      <sz val="8"/>
      <color indexed="8"/>
      <name val="Arial"/>
      <family val="2"/>
    </font>
    <font>
      <i/>
      <sz val="10"/>
      <color indexed="8"/>
      <name val="Calibri"/>
      <family val="2"/>
    </font>
    <font>
      <sz val="9"/>
      <name val="Calibri"/>
      <family val="2"/>
    </font>
    <font>
      <b/>
      <sz val="10"/>
      <color indexed="8"/>
      <name val="Calibri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F89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37"/>
      </patternFill>
    </fill>
    <fill>
      <patternFill patternType="solid">
        <fgColor indexed="1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3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/>
      <top style="thin">
        <color indexed="62"/>
      </top>
      <bottom/>
      <diagonal/>
    </border>
    <border>
      <left/>
      <right/>
      <top style="thin">
        <color indexed="62"/>
      </top>
      <bottom/>
      <diagonal/>
    </border>
    <border>
      <left/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/>
      <top/>
      <bottom/>
      <diagonal/>
    </border>
    <border>
      <left/>
      <right style="thin">
        <color indexed="62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2"/>
      </left>
      <right/>
      <top/>
      <bottom style="thin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 style="thin">
        <color indexed="62"/>
      </right>
      <top/>
      <bottom style="thin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/>
      <diagonal/>
    </border>
    <border>
      <left style="thin">
        <color indexed="64"/>
      </left>
      <right style="thin">
        <color indexed="9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22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ck">
        <color indexed="9"/>
      </top>
      <bottom style="medium">
        <color indexed="22"/>
      </bottom>
      <diagonal/>
    </border>
    <border>
      <left/>
      <right/>
      <top style="medium">
        <color indexed="41"/>
      </top>
      <bottom style="medium">
        <color indexed="48"/>
      </bottom>
      <diagonal/>
    </border>
    <border>
      <left/>
      <right/>
      <top style="medium">
        <color indexed="22"/>
      </top>
      <bottom/>
      <diagonal/>
    </border>
    <border>
      <left/>
      <right/>
      <top style="thick">
        <color indexed="9"/>
      </top>
      <bottom style="medium">
        <color indexed="48"/>
      </bottom>
      <diagonal/>
    </border>
    <border>
      <left/>
      <right/>
      <top/>
      <bottom style="medium">
        <color indexed="22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/>
      <right/>
      <top style="thin">
        <color indexed="48"/>
      </top>
      <bottom/>
      <diagonal/>
    </border>
    <border>
      <left/>
      <right style="thin">
        <color indexed="9"/>
      </right>
      <top style="thin">
        <color indexed="64"/>
      </top>
      <bottom/>
      <diagonal/>
    </border>
    <border>
      <left/>
      <right style="thin">
        <color indexed="9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/>
      <right style="thin">
        <color indexed="9"/>
      </right>
      <top/>
      <bottom/>
      <diagonal/>
    </border>
    <border>
      <left style="thin">
        <color indexed="64"/>
      </left>
      <right style="thin">
        <color indexed="9"/>
      </right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9"/>
      </left>
      <right style="thin">
        <color theme="0"/>
      </right>
      <top/>
      <bottom/>
      <diagonal/>
    </border>
    <border>
      <left style="thin">
        <color indexed="9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64"/>
      </top>
      <bottom/>
      <diagonal/>
    </border>
    <border>
      <left style="thin">
        <color indexed="9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85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176" fontId="30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179" fontId="18" fillId="0" borderId="0"/>
    <xf numFmtId="18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9" fontId="2" fillId="14" borderId="46" applyFont="0" applyAlignment="0" applyProtection="0"/>
    <xf numFmtId="176" fontId="30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" fontId="41" fillId="15" borderId="47" applyNumberFormat="0" applyProtection="0">
      <alignment vertical="center"/>
    </xf>
    <xf numFmtId="4" fontId="42" fillId="15" borderId="47">
      <alignment vertical="center"/>
    </xf>
    <xf numFmtId="4" fontId="43" fillId="16" borderId="48">
      <alignment vertical="center"/>
    </xf>
    <xf numFmtId="4" fontId="44" fillId="16" borderId="48">
      <alignment vertical="center"/>
    </xf>
    <xf numFmtId="4" fontId="43" fillId="17" borderId="48">
      <alignment vertical="center"/>
    </xf>
    <xf numFmtId="4" fontId="44" fillId="17" borderId="48">
      <alignment vertical="center"/>
    </xf>
    <xf numFmtId="4" fontId="45" fillId="15" borderId="47" applyNumberFormat="0" applyProtection="0">
      <alignment horizontal="left" vertical="center" indent="1"/>
    </xf>
    <xf numFmtId="0" fontId="2" fillId="18" borderId="0"/>
    <xf numFmtId="4" fontId="46" fillId="19" borderId="0">
      <alignment horizontal="left" vertical="center" indent="1"/>
    </xf>
    <xf numFmtId="4" fontId="46" fillId="20" borderId="47" applyNumberFormat="0" applyProtection="0">
      <alignment horizontal="right" vertical="center"/>
    </xf>
    <xf numFmtId="4" fontId="46" fillId="21" borderId="47" applyNumberFormat="0" applyProtection="0">
      <alignment horizontal="right" vertical="center"/>
    </xf>
    <xf numFmtId="4" fontId="46" fillId="22" borderId="47" applyNumberFormat="0" applyProtection="0">
      <alignment horizontal="right" vertical="center"/>
    </xf>
    <xf numFmtId="4" fontId="46" fillId="23" borderId="47" applyNumberFormat="0" applyProtection="0">
      <alignment horizontal="right" vertical="center"/>
    </xf>
    <xf numFmtId="4" fontId="46" fillId="24" borderId="47" applyNumberFormat="0" applyProtection="0">
      <alignment horizontal="right" vertical="center"/>
    </xf>
    <xf numFmtId="4" fontId="46" fillId="25" borderId="47" applyNumberFormat="0" applyProtection="0">
      <alignment horizontal="right" vertical="center"/>
    </xf>
    <xf numFmtId="4" fontId="46" fillId="26" borderId="47" applyNumberFormat="0" applyProtection="0">
      <alignment horizontal="right" vertical="center"/>
    </xf>
    <xf numFmtId="4" fontId="46" fillId="27" borderId="47" applyNumberFormat="0" applyProtection="0">
      <alignment horizontal="right" vertical="center"/>
    </xf>
    <xf numFmtId="4" fontId="46" fillId="16" borderId="47" applyNumberFormat="0" applyProtection="0">
      <alignment horizontal="right" vertical="center"/>
    </xf>
    <xf numFmtId="4" fontId="41" fillId="28" borderId="49">
      <alignment horizontal="left" vertical="center" indent="1"/>
    </xf>
    <xf numFmtId="4" fontId="41" fillId="8" borderId="0">
      <alignment horizontal="left" vertical="center" indent="1"/>
    </xf>
    <xf numFmtId="4" fontId="41" fillId="19" borderId="0">
      <alignment horizontal="left" vertical="center" indent="1"/>
    </xf>
    <xf numFmtId="4" fontId="46" fillId="8" borderId="47">
      <alignment horizontal="right" vertical="center"/>
    </xf>
    <xf numFmtId="4" fontId="46" fillId="8" borderId="0">
      <alignment horizontal="left" vertical="center" indent="1"/>
    </xf>
    <xf numFmtId="4" fontId="47" fillId="8" borderId="0">
      <alignment horizontal="left" vertical="center" indent="1"/>
    </xf>
    <xf numFmtId="0" fontId="2" fillId="7" borderId="50" applyNumberFormat="0" applyFont="0" applyAlignment="0"/>
    <xf numFmtId="0" fontId="2" fillId="29" borderId="51" applyNumberFormat="0" applyAlignment="0"/>
    <xf numFmtId="0" fontId="48" fillId="2" borderId="52">
      <alignment horizontal="left" vertical="center"/>
    </xf>
    <xf numFmtId="0" fontId="2" fillId="7" borderId="53" applyNumberFormat="0" applyFont="0" applyAlignment="0"/>
    <xf numFmtId="4" fontId="47" fillId="19" borderId="0">
      <alignment horizontal="left" vertical="center" indent="1"/>
    </xf>
    <xf numFmtId="4" fontId="46" fillId="30" borderId="47">
      <alignment vertical="center"/>
    </xf>
    <xf numFmtId="4" fontId="49" fillId="30" borderId="47">
      <alignment vertical="center"/>
    </xf>
    <xf numFmtId="4" fontId="50" fillId="16" borderId="54">
      <alignment vertical="center"/>
    </xf>
    <xf numFmtId="4" fontId="51" fillId="16" borderId="54">
      <alignment vertical="center"/>
    </xf>
    <xf numFmtId="4" fontId="50" fillId="17" borderId="54">
      <alignment vertical="center"/>
    </xf>
    <xf numFmtId="4" fontId="51" fillId="17" borderId="54">
      <alignment vertical="center"/>
    </xf>
    <xf numFmtId="4" fontId="41" fillId="8" borderId="55">
      <alignment horizontal="left" vertical="center" indent="1"/>
    </xf>
    <xf numFmtId="4" fontId="52" fillId="30" borderId="47" applyNumberFormat="0" applyProtection="0">
      <alignment horizontal="right" vertical="center"/>
    </xf>
    <xf numFmtId="4" fontId="49" fillId="30" borderId="47">
      <alignment horizontal="right" vertical="center"/>
    </xf>
    <xf numFmtId="4" fontId="53" fillId="16" borderId="54">
      <alignment vertical="center"/>
    </xf>
    <xf numFmtId="4" fontId="54" fillId="16" borderId="54">
      <alignment vertical="center"/>
    </xf>
    <xf numFmtId="4" fontId="53" fillId="17" borderId="54">
      <alignment vertical="center"/>
    </xf>
    <xf numFmtId="4" fontId="54" fillId="20" borderId="54">
      <alignment vertical="center"/>
    </xf>
    <xf numFmtId="4" fontId="41" fillId="8" borderId="47">
      <alignment horizontal="left" vertical="center" indent="1"/>
    </xf>
    <xf numFmtId="4" fontId="41" fillId="8" borderId="47">
      <alignment horizontal="right" vertical="center"/>
    </xf>
    <xf numFmtId="4" fontId="41" fillId="8" borderId="47">
      <alignment horizontal="left" vertical="center" indent="1"/>
    </xf>
    <xf numFmtId="4" fontId="41" fillId="30" borderId="47">
      <alignment horizontal="left" vertical="center" indent="1"/>
    </xf>
    <xf numFmtId="4" fontId="41" fillId="30" borderId="47">
      <alignment vertical="center"/>
    </xf>
    <xf numFmtId="4" fontId="42" fillId="30" borderId="47">
      <alignment vertical="center"/>
    </xf>
    <xf numFmtId="4" fontId="43" fillId="16" borderId="56">
      <alignment vertical="center"/>
    </xf>
    <xf numFmtId="4" fontId="44" fillId="16" borderId="56">
      <alignment vertical="center"/>
    </xf>
    <xf numFmtId="4" fontId="43" fillId="17" borderId="54">
      <alignment vertical="center"/>
    </xf>
    <xf numFmtId="4" fontId="44" fillId="17" borderId="54">
      <alignment vertical="center"/>
    </xf>
    <xf numFmtId="4" fontId="41" fillId="14" borderId="47">
      <alignment horizontal="left" vertical="center" indent="1"/>
    </xf>
    <xf numFmtId="4" fontId="55" fillId="2" borderId="57">
      <alignment horizontal="left" vertical="center" indent="1"/>
    </xf>
    <xf numFmtId="4" fontId="56" fillId="30" borderId="47">
      <alignment horizontal="right" vertical="center"/>
    </xf>
    <xf numFmtId="18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1" fillId="0" borderId="0"/>
    <xf numFmtId="0" fontId="2" fillId="0" borderId="0"/>
    <xf numFmtId="165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165" fontId="79" fillId="0" borderId="0" applyFont="0" applyFill="0" applyBorder="0" applyAlignment="0" applyProtection="0"/>
    <xf numFmtId="0" fontId="79" fillId="0" borderId="0"/>
    <xf numFmtId="0" fontId="2" fillId="0" borderId="0"/>
    <xf numFmtId="0" fontId="96" fillId="0" borderId="0"/>
    <xf numFmtId="0" fontId="97" fillId="0" borderId="0" applyNumberFormat="0" applyFill="0" applyBorder="0" applyAlignment="0" applyProtection="0">
      <alignment vertical="top"/>
      <protection locked="0"/>
    </xf>
  </cellStyleXfs>
  <cellXfs count="856">
    <xf numFmtId="0" fontId="0" fillId="0" borderId="0" xfId="0"/>
    <xf numFmtId="0" fontId="2" fillId="2" borderId="0" xfId="4" applyFill="1" applyProtection="1">
      <protection locked="0"/>
    </xf>
    <xf numFmtId="0" fontId="3" fillId="3" borderId="0" xfId="0" applyFont="1" applyFill="1" applyAlignment="1">
      <alignment horizontal="right"/>
    </xf>
    <xf numFmtId="166" fontId="0" fillId="3" borderId="0" xfId="5" applyNumberFormat="1" applyFont="1" applyFill="1" applyBorder="1" applyAlignment="1">
      <alignment horizontal="center"/>
    </xf>
    <xf numFmtId="0" fontId="0" fillId="3" borderId="0" xfId="0" applyFill="1"/>
    <xf numFmtId="0" fontId="4" fillId="4" borderId="0" xfId="4" applyFont="1" applyFill="1" applyProtection="1">
      <protection locked="0"/>
    </xf>
    <xf numFmtId="0" fontId="2" fillId="4" borderId="0" xfId="4" applyFill="1" applyProtection="1">
      <protection locked="0"/>
    </xf>
    <xf numFmtId="0" fontId="3" fillId="4" borderId="0" xfId="0" applyFont="1" applyFill="1" applyAlignment="1">
      <alignment horizontal="right"/>
    </xf>
    <xf numFmtId="166" fontId="0" fillId="4" borderId="0" xfId="5" applyNumberFormat="1" applyFont="1" applyFill="1" applyBorder="1" applyAlignment="1">
      <alignment horizontal="center"/>
    </xf>
    <xf numFmtId="0" fontId="0" fillId="4" borderId="0" xfId="0" applyFill="1"/>
    <xf numFmtId="0" fontId="5" fillId="2" borderId="0" xfId="4" applyFont="1" applyFill="1" applyProtection="1">
      <protection locked="0"/>
    </xf>
    <xf numFmtId="0" fontId="5" fillId="2" borderId="1" xfId="4" applyFont="1" applyFill="1" applyBorder="1" applyAlignment="1" applyProtection="1">
      <alignment horizontal="center" vertical="center"/>
      <protection locked="0"/>
    </xf>
    <xf numFmtId="0" fontId="5" fillId="5" borderId="2" xfId="4" applyFont="1" applyFill="1" applyBorder="1" applyProtection="1">
      <protection locked="0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5" fillId="2" borderId="8" xfId="4" applyFont="1" applyFill="1" applyBorder="1" applyAlignment="1" applyProtection="1">
      <alignment horizontal="center" vertical="center"/>
      <protection locked="0"/>
    </xf>
    <xf numFmtId="14" fontId="5" fillId="6" borderId="8" xfId="0" applyNumberFormat="1" applyFont="1" applyFill="1" applyBorder="1" applyAlignment="1" applyProtection="1">
      <alignment horizontal="center" vertical="center"/>
      <protection locked="0"/>
    </xf>
    <xf numFmtId="1" fontId="5" fillId="6" borderId="8" xfId="0" applyNumberFormat="1" applyFont="1" applyFill="1" applyBorder="1" applyAlignment="1" applyProtection="1">
      <alignment horizontal="center" vertical="center"/>
      <protection locked="0"/>
    </xf>
    <xf numFmtId="0" fontId="5" fillId="2" borderId="9" xfId="4" applyFont="1" applyFill="1" applyBorder="1" applyAlignment="1" applyProtection="1">
      <alignment horizontal="left" vertical="center" wrapText="1"/>
      <protection locked="0"/>
    </xf>
    <xf numFmtId="0" fontId="5" fillId="2" borderId="0" xfId="4" applyFont="1" applyFill="1" applyAlignment="1" applyProtection="1">
      <alignment horizontal="left"/>
      <protection locked="0"/>
    </xf>
    <xf numFmtId="0" fontId="6" fillId="2" borderId="8" xfId="4" applyFont="1" applyFill="1" applyBorder="1" applyAlignment="1" applyProtection="1">
      <alignment horizontal="center" vertical="center"/>
      <protection locked="0"/>
    </xf>
    <xf numFmtId="0" fontId="5" fillId="3" borderId="0" xfId="4" applyFont="1" applyFill="1" applyProtection="1">
      <protection locked="0"/>
    </xf>
    <xf numFmtId="0" fontId="5" fillId="2" borderId="13" xfId="4" applyFont="1" applyFill="1" applyBorder="1" applyAlignment="1" applyProtection="1">
      <alignment horizontal="center" vertical="center"/>
      <protection locked="0"/>
    </xf>
    <xf numFmtId="10" fontId="5" fillId="2" borderId="0" xfId="3" applyNumberFormat="1" applyFont="1" applyFill="1" applyAlignment="1" applyProtection="1">
      <alignment horizontal="left"/>
      <protection locked="0"/>
    </xf>
    <xf numFmtId="10" fontId="2" fillId="2" borderId="0" xfId="3" applyNumberFormat="1" applyFont="1" applyFill="1" applyProtection="1">
      <protection locked="0"/>
    </xf>
    <xf numFmtId="3" fontId="5" fillId="5" borderId="8" xfId="4" applyNumberFormat="1" applyFont="1" applyFill="1" applyBorder="1" applyAlignment="1" applyProtection="1">
      <alignment horizontal="center" vertical="center"/>
      <protection locked="0"/>
    </xf>
    <xf numFmtId="0" fontId="5" fillId="2" borderId="14" xfId="4" applyFont="1" applyFill="1" applyBorder="1" applyAlignment="1" applyProtection="1">
      <alignment horizontal="center" vertical="center"/>
      <protection locked="0"/>
    </xf>
    <xf numFmtId="0" fontId="5" fillId="2" borderId="10" xfId="4" applyFont="1" applyFill="1" applyBorder="1" applyAlignment="1" applyProtection="1">
      <alignment horizontal="center" vertical="center" wrapText="1"/>
      <protection locked="0"/>
    </xf>
    <xf numFmtId="169" fontId="5" fillId="2" borderId="8" xfId="4" applyNumberFormat="1" applyFont="1" applyFill="1" applyBorder="1" applyAlignment="1" applyProtection="1">
      <alignment horizontal="center" vertical="center"/>
      <protection locked="0"/>
    </xf>
    <xf numFmtId="3" fontId="5" fillId="2" borderId="0" xfId="4" applyNumberFormat="1" applyFont="1" applyFill="1" applyProtection="1">
      <protection locked="0"/>
    </xf>
    <xf numFmtId="10" fontId="5" fillId="2" borderId="0" xfId="3" applyNumberFormat="1" applyFont="1" applyFill="1" applyBorder="1" applyAlignment="1" applyProtection="1">
      <alignment horizontal="left"/>
      <protection locked="0"/>
    </xf>
    <xf numFmtId="0" fontId="5" fillId="2" borderId="8" xfId="4" applyFont="1" applyFill="1" applyBorder="1" applyAlignment="1" applyProtection="1">
      <alignment horizontal="center" vertical="center" wrapText="1"/>
      <protection locked="0"/>
    </xf>
    <xf numFmtId="0" fontId="5" fillId="3" borderId="0" xfId="4" applyFont="1" applyFill="1" applyAlignment="1" applyProtection="1">
      <alignment horizontal="center" vertical="center" wrapText="1"/>
      <protection locked="0"/>
    </xf>
    <xf numFmtId="3" fontId="5" fillId="3" borderId="0" xfId="4" applyNumberFormat="1" applyFont="1" applyFill="1" applyAlignment="1" applyProtection="1">
      <alignment horizontal="center" vertical="center"/>
      <protection locked="0"/>
    </xf>
    <xf numFmtId="167" fontId="5" fillId="3" borderId="0" xfId="2" applyNumberFormat="1" applyFont="1" applyFill="1" applyBorder="1" applyAlignment="1" applyProtection="1">
      <alignment horizontal="center" vertical="center"/>
      <protection locked="0"/>
    </xf>
    <xf numFmtId="167" fontId="5" fillId="5" borderId="8" xfId="2" applyNumberFormat="1" applyFont="1" applyFill="1" applyBorder="1" applyAlignment="1" applyProtection="1">
      <alignment horizontal="center" vertical="center"/>
      <protection locked="0"/>
    </xf>
    <xf numFmtId="10" fontId="5" fillId="2" borderId="0" xfId="3" applyNumberFormat="1" applyFont="1" applyFill="1" applyBorder="1" applyProtection="1">
      <protection locked="0"/>
    </xf>
    <xf numFmtId="14" fontId="5" fillId="2" borderId="0" xfId="4" applyNumberFormat="1" applyFont="1" applyFill="1" applyProtection="1">
      <protection locked="0"/>
    </xf>
    <xf numFmtId="0" fontId="5" fillId="2" borderId="8" xfId="4" applyFont="1" applyFill="1" applyBorder="1" applyAlignment="1" applyProtection="1">
      <alignment horizontal="right" vertical="center"/>
      <protection locked="0"/>
    </xf>
    <xf numFmtId="0" fontId="5" fillId="2" borderId="0" xfId="4" applyFont="1" applyFill="1" applyAlignment="1" applyProtection="1">
      <alignment horizontal="right"/>
      <protection locked="0"/>
    </xf>
    <xf numFmtId="1" fontId="5" fillId="2" borderId="0" xfId="4" applyNumberFormat="1" applyFont="1" applyFill="1" applyAlignment="1" applyProtection="1">
      <alignment horizontal="center" vertical="center"/>
      <protection locked="0"/>
    </xf>
    <xf numFmtId="14" fontId="5" fillId="2" borderId="0" xfId="4" applyNumberFormat="1" applyFont="1" applyFill="1" applyAlignment="1" applyProtection="1">
      <alignment horizontal="right"/>
      <protection locked="0"/>
    </xf>
    <xf numFmtId="0" fontId="5" fillId="2" borderId="0" xfId="4" applyFont="1" applyFill="1" applyAlignment="1" applyProtection="1">
      <alignment horizontal="left" vertical="center"/>
      <protection locked="0"/>
    </xf>
    <xf numFmtId="0" fontId="5" fillId="2" borderId="0" xfId="4" applyFont="1" applyFill="1" applyAlignment="1" applyProtection="1">
      <alignment horizontal="center" vertical="center" wrapText="1"/>
      <protection locked="0"/>
    </xf>
    <xf numFmtId="0" fontId="5" fillId="3" borderId="8" xfId="4" applyFont="1" applyFill="1" applyBorder="1" applyAlignment="1" applyProtection="1">
      <alignment horizontal="center" vertical="center"/>
      <protection locked="0"/>
    </xf>
    <xf numFmtId="10" fontId="5" fillId="5" borderId="8" xfId="4" applyNumberFormat="1" applyFont="1" applyFill="1" applyBorder="1" applyAlignment="1" applyProtection="1">
      <alignment horizontal="center" vertical="center"/>
      <protection locked="0"/>
    </xf>
    <xf numFmtId="0" fontId="5" fillId="2" borderId="1" xfId="4" applyFont="1" applyFill="1" applyBorder="1" applyAlignment="1" applyProtection="1">
      <alignment horizontal="center" vertical="center" wrapText="1"/>
      <protection locked="0"/>
    </xf>
    <xf numFmtId="3" fontId="5" fillId="5" borderId="1" xfId="0" applyNumberFormat="1" applyFont="1" applyFill="1" applyBorder="1" applyAlignment="1" applyProtection="1">
      <alignment horizontal="left" vertical="center"/>
      <protection locked="0"/>
    </xf>
    <xf numFmtId="170" fontId="5" fillId="2" borderId="5" xfId="4" applyNumberFormat="1" applyFont="1" applyFill="1" applyBorder="1" applyAlignment="1" applyProtection="1">
      <alignment horizontal="center" vertical="center"/>
      <protection locked="0"/>
    </xf>
    <xf numFmtId="0" fontId="5" fillId="5" borderId="8" xfId="4" applyFont="1" applyFill="1" applyBorder="1" applyAlignment="1" applyProtection="1">
      <alignment horizontal="center" vertical="center"/>
      <protection locked="0"/>
    </xf>
    <xf numFmtId="170" fontId="5" fillId="2" borderId="8" xfId="4" applyNumberFormat="1" applyFont="1" applyFill="1" applyBorder="1" applyAlignment="1" applyProtection="1">
      <alignment horizontal="center" vertical="center"/>
      <protection locked="0"/>
    </xf>
    <xf numFmtId="1" fontId="5" fillId="0" borderId="8" xfId="4" applyNumberFormat="1" applyFont="1" applyBorder="1" applyAlignment="1" applyProtection="1">
      <alignment horizontal="center" vertical="center"/>
      <protection locked="0"/>
    </xf>
    <xf numFmtId="170" fontId="5" fillId="2" borderId="0" xfId="4" applyNumberFormat="1" applyFont="1" applyFill="1" applyAlignment="1" applyProtection="1">
      <alignment horizontal="center" vertical="center"/>
      <protection locked="0"/>
    </xf>
    <xf numFmtId="0" fontId="5" fillId="0" borderId="8" xfId="4" applyFont="1" applyBorder="1" applyAlignment="1" applyProtection="1">
      <alignment horizontal="center" vertical="center"/>
      <protection locked="0"/>
    </xf>
    <xf numFmtId="0" fontId="8" fillId="3" borderId="0" xfId="0" applyFont="1" applyFill="1"/>
    <xf numFmtId="167" fontId="5" fillId="0" borderId="8" xfId="2" applyNumberFormat="1" applyFont="1" applyFill="1" applyBorder="1" applyAlignment="1" applyProtection="1">
      <alignment horizontal="center" vertical="center" wrapText="1"/>
      <protection locked="0"/>
    </xf>
    <xf numFmtId="167" fontId="5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6" fillId="3" borderId="10" xfId="4" applyFont="1" applyFill="1" applyBorder="1"/>
    <xf numFmtId="0" fontId="5" fillId="3" borderId="15" xfId="4" applyFont="1" applyFill="1" applyBorder="1" applyAlignment="1">
      <alignment horizontal="center"/>
    </xf>
    <xf numFmtId="0" fontId="5" fillId="2" borderId="1" xfId="4" applyFont="1" applyFill="1" applyBorder="1" applyAlignment="1" applyProtection="1">
      <alignment horizontal="left" vertical="center"/>
      <protection locked="0"/>
    </xf>
    <xf numFmtId="3" fontId="5" fillId="5" borderId="8" xfId="5" applyNumberFormat="1" applyFont="1" applyFill="1" applyBorder="1" applyAlignment="1" applyProtection="1">
      <alignment horizontal="center" vertical="center"/>
      <protection locked="0"/>
    </xf>
    <xf numFmtId="9" fontId="5" fillId="0" borderId="8" xfId="6" applyFont="1" applyBorder="1" applyAlignment="1" applyProtection="1">
      <alignment horizontal="center" vertical="center"/>
    </xf>
    <xf numFmtId="167" fontId="5" fillId="5" borderId="8" xfId="2" applyNumberFormat="1" applyFont="1" applyFill="1" applyBorder="1" applyAlignment="1" applyProtection="1">
      <alignment horizontal="center" vertical="center" wrapText="1"/>
      <protection locked="0"/>
    </xf>
    <xf numFmtId="9" fontId="5" fillId="2" borderId="8" xfId="6" applyFont="1" applyFill="1" applyBorder="1" applyAlignment="1" applyProtection="1">
      <alignment horizontal="center" vertical="center"/>
    </xf>
    <xf numFmtId="0" fontId="9" fillId="2" borderId="8" xfId="4" applyFont="1" applyFill="1" applyBorder="1" applyAlignment="1" applyProtection="1">
      <alignment horizontal="center" vertical="center" wrapText="1"/>
      <protection locked="0"/>
    </xf>
    <xf numFmtId="0" fontId="6" fillId="2" borderId="8" xfId="4" applyFont="1" applyFill="1" applyBorder="1" applyAlignment="1" applyProtection="1">
      <alignment horizontal="center" vertical="center" wrapText="1"/>
      <protection locked="0"/>
    </xf>
    <xf numFmtId="9" fontId="5" fillId="5" borderId="1" xfId="3" applyFont="1" applyFill="1" applyBorder="1" applyAlignment="1" applyProtection="1">
      <alignment horizontal="center" vertical="center"/>
      <protection locked="0"/>
    </xf>
    <xf numFmtId="167" fontId="5" fillId="0" borderId="8" xfId="2" applyNumberFormat="1" applyFont="1" applyFill="1" applyBorder="1" applyAlignment="1" applyProtection="1">
      <alignment horizontal="center" vertical="center"/>
      <protection locked="0"/>
    </xf>
    <xf numFmtId="0" fontId="14" fillId="2" borderId="8" xfId="4" applyFont="1" applyFill="1" applyBorder="1" applyAlignment="1" applyProtection="1">
      <alignment horizontal="center" vertical="center" wrapText="1"/>
      <protection locked="0"/>
    </xf>
    <xf numFmtId="0" fontId="2" fillId="2" borderId="8" xfId="4" applyFill="1" applyBorder="1" applyAlignment="1" applyProtection="1">
      <alignment horizontal="center" vertical="center" wrapText="1"/>
      <protection locked="0"/>
    </xf>
    <xf numFmtId="0" fontId="2" fillId="2" borderId="0" xfId="7" applyFill="1"/>
    <xf numFmtId="0" fontId="18" fillId="2" borderId="0" xfId="7" applyFont="1" applyFill="1"/>
    <xf numFmtId="0" fontId="3" fillId="2" borderId="0" xfId="7" applyFont="1" applyFill="1"/>
    <xf numFmtId="49" fontId="19" fillId="7" borderId="36" xfId="7" applyNumberFormat="1" applyFont="1" applyFill="1" applyBorder="1"/>
    <xf numFmtId="49" fontId="19" fillId="7" borderId="37" xfId="7" applyNumberFormat="1" applyFont="1" applyFill="1" applyBorder="1"/>
    <xf numFmtId="49" fontId="2" fillId="2" borderId="33" xfId="7" applyNumberFormat="1" applyFill="1" applyBorder="1" applyAlignment="1">
      <alignment horizontal="center"/>
    </xf>
    <xf numFmtId="14" fontId="21" fillId="2" borderId="10" xfId="7" applyNumberFormat="1" applyFont="1" applyFill="1" applyBorder="1"/>
    <xf numFmtId="14" fontId="21" fillId="2" borderId="29" xfId="7" applyNumberFormat="1" applyFont="1" applyFill="1" applyBorder="1"/>
    <xf numFmtId="14" fontId="21" fillId="2" borderId="15" xfId="7" applyNumberFormat="1" applyFont="1" applyFill="1" applyBorder="1"/>
    <xf numFmtId="0" fontId="2" fillId="0" borderId="35" xfId="7" applyBorder="1"/>
    <xf numFmtId="0" fontId="2" fillId="0" borderId="0" xfId="7"/>
    <xf numFmtId="0" fontId="2" fillId="0" borderId="24" xfId="7" applyBorder="1"/>
    <xf numFmtId="49" fontId="2" fillId="2" borderId="34" xfId="7" applyNumberFormat="1" applyFill="1" applyBorder="1" applyAlignment="1">
      <alignment horizontal="center"/>
    </xf>
    <xf numFmtId="49" fontId="2" fillId="2" borderId="5" xfId="7" applyNumberFormat="1" applyFill="1" applyBorder="1" applyAlignment="1">
      <alignment horizontal="center"/>
    </xf>
    <xf numFmtId="14" fontId="2" fillId="3" borderId="32" xfId="7" applyNumberFormat="1" applyFill="1" applyBorder="1" applyAlignment="1" applyProtection="1">
      <alignment vertical="center" wrapText="1"/>
      <protection locked="0"/>
    </xf>
    <xf numFmtId="0" fontId="2" fillId="0" borderId="30" xfId="7" applyBorder="1"/>
    <xf numFmtId="0" fontId="2" fillId="0" borderId="31" xfId="7" applyBorder="1"/>
    <xf numFmtId="0" fontId="2" fillId="0" borderId="32" xfId="7" applyBorder="1"/>
    <xf numFmtId="0" fontId="22" fillId="2" borderId="0" xfId="4" applyFont="1" applyFill="1"/>
    <xf numFmtId="0" fontId="2" fillId="0" borderId="0" xfId="4"/>
    <xf numFmtId="0" fontId="23" fillId="2" borderId="0" xfId="4" applyFont="1" applyFill="1"/>
    <xf numFmtId="0" fontId="24" fillId="2" borderId="0" xfId="4" applyFont="1" applyFill="1"/>
    <xf numFmtId="0" fontId="19" fillId="7" borderId="40" xfId="4" applyFont="1" applyFill="1" applyBorder="1" applyAlignment="1">
      <alignment horizontal="center" vertical="center"/>
    </xf>
    <xf numFmtId="0" fontId="19" fillId="7" borderId="41" xfId="4" applyFont="1" applyFill="1" applyBorder="1" applyAlignment="1">
      <alignment horizontal="center" vertical="center"/>
    </xf>
    <xf numFmtId="173" fontId="2" fillId="0" borderId="34" xfId="4" applyNumberFormat="1" applyBorder="1"/>
    <xf numFmtId="173" fontId="2" fillId="8" borderId="8" xfId="4" applyNumberFormat="1" applyFill="1" applyBorder="1"/>
    <xf numFmtId="173" fontId="2" fillId="3" borderId="34" xfId="4" applyNumberFormat="1" applyFill="1" applyBorder="1" applyProtection="1">
      <protection locked="0"/>
    </xf>
    <xf numFmtId="173" fontId="2" fillId="10" borderId="8" xfId="4" applyNumberFormat="1" applyFill="1" applyBorder="1"/>
    <xf numFmtId="173" fontId="2" fillId="3" borderId="8" xfId="4" applyNumberFormat="1" applyFill="1" applyBorder="1" applyProtection="1">
      <protection locked="0"/>
    </xf>
    <xf numFmtId="173" fontId="2" fillId="3" borderId="5" xfId="4" applyNumberFormat="1" applyFill="1" applyBorder="1" applyProtection="1">
      <protection locked="0"/>
    </xf>
    <xf numFmtId="0" fontId="2" fillId="3" borderId="0" xfId="4" applyFill="1"/>
    <xf numFmtId="0" fontId="19" fillId="2" borderId="33" xfId="4" applyFont="1" applyFill="1" applyBorder="1"/>
    <xf numFmtId="0" fontId="19" fillId="11" borderId="33" xfId="4" applyFont="1" applyFill="1" applyBorder="1" applyAlignment="1">
      <alignment horizontal="center"/>
    </xf>
    <xf numFmtId="0" fontId="19" fillId="9" borderId="33" xfId="4" applyFont="1" applyFill="1" applyBorder="1"/>
    <xf numFmtId="0" fontId="19" fillId="2" borderId="33" xfId="4" applyFont="1" applyFill="1" applyBorder="1" applyAlignment="1">
      <alignment horizontal="center"/>
    </xf>
    <xf numFmtId="0" fontId="13" fillId="8" borderId="34" xfId="4" applyFont="1" applyFill="1" applyBorder="1"/>
    <xf numFmtId="173" fontId="13" fillId="8" borderId="34" xfId="4" applyNumberFormat="1" applyFont="1" applyFill="1" applyBorder="1"/>
    <xf numFmtId="0" fontId="2" fillId="11" borderId="34" xfId="4" applyFill="1" applyBorder="1" applyAlignment="1">
      <alignment horizontal="center"/>
    </xf>
    <xf numFmtId="173" fontId="2" fillId="9" borderId="34" xfId="4" applyNumberFormat="1" applyFill="1" applyBorder="1"/>
    <xf numFmtId="173" fontId="25" fillId="3" borderId="34" xfId="4" applyNumberFormat="1" applyFont="1" applyFill="1" applyBorder="1" applyProtection="1">
      <protection locked="0"/>
    </xf>
    <xf numFmtId="0" fontId="2" fillId="11" borderId="5" xfId="4" applyFill="1" applyBorder="1" applyAlignment="1">
      <alignment horizontal="center"/>
    </xf>
    <xf numFmtId="173" fontId="2" fillId="9" borderId="5" xfId="4" applyNumberFormat="1" applyFill="1" applyBorder="1"/>
    <xf numFmtId="173" fontId="13" fillId="9" borderId="8" xfId="4" applyNumberFormat="1" applyFont="1" applyFill="1" applyBorder="1"/>
    <xf numFmtId="3" fontId="2" fillId="2" borderId="0" xfId="4" applyNumberFormat="1" applyFill="1" applyProtection="1">
      <protection locked="0"/>
    </xf>
    <xf numFmtId="173" fontId="2" fillId="3" borderId="0" xfId="4" applyNumberFormat="1" applyFill="1"/>
    <xf numFmtId="0" fontId="2" fillId="3" borderId="0" xfId="4" applyFill="1" applyProtection="1">
      <protection locked="0"/>
    </xf>
    <xf numFmtId="0" fontId="2" fillId="11" borderId="0" xfId="4" applyFill="1"/>
    <xf numFmtId="174" fontId="2" fillId="11" borderId="0" xfId="4" applyNumberFormat="1" applyFill="1"/>
    <xf numFmtId="174" fontId="2" fillId="11" borderId="0" xfId="4" applyNumberFormat="1" applyFill="1" applyAlignment="1">
      <alignment horizontal="center"/>
    </xf>
    <xf numFmtId="166" fontId="2" fillId="11" borderId="0" xfId="5" applyNumberFormat="1" applyFont="1" applyFill="1"/>
    <xf numFmtId="0" fontId="2" fillId="11" borderId="0" xfId="4" applyFill="1" applyAlignment="1">
      <alignment horizontal="right"/>
    </xf>
    <xf numFmtId="166" fontId="2" fillId="12" borderId="0" xfId="5" applyNumberFormat="1" applyFont="1" applyFill="1"/>
    <xf numFmtId="166" fontId="2" fillId="11" borderId="0" xfId="4" applyNumberFormat="1" applyFill="1"/>
    <xf numFmtId="166" fontId="2" fillId="3" borderId="0" xfId="4" applyNumberFormat="1" applyFill="1"/>
    <xf numFmtId="0" fontId="14" fillId="2" borderId="0" xfId="4" applyFont="1" applyFill="1"/>
    <xf numFmtId="0" fontId="26" fillId="2" borderId="0" xfId="4" applyFont="1" applyFill="1"/>
    <xf numFmtId="0" fontId="7" fillId="2" borderId="0" xfId="4" applyFont="1" applyFill="1" applyProtection="1">
      <protection locked="0"/>
    </xf>
    <xf numFmtId="0" fontId="29" fillId="7" borderId="0" xfId="4" applyFont="1" applyFill="1"/>
    <xf numFmtId="0" fontId="3" fillId="7" borderId="0" xfId="4" applyFont="1" applyFill="1"/>
    <xf numFmtId="0" fontId="3" fillId="3" borderId="0" xfId="4" applyFont="1" applyFill="1"/>
    <xf numFmtId="37" fontId="3" fillId="3" borderId="0" xfId="4" applyNumberFormat="1" applyFont="1" applyFill="1"/>
    <xf numFmtId="0" fontId="13" fillId="3" borderId="0" xfId="4" applyFont="1" applyFill="1"/>
    <xf numFmtId="0" fontId="13" fillId="0" borderId="8" xfId="4" applyFont="1" applyBorder="1"/>
    <xf numFmtId="0" fontId="21" fillId="3" borderId="0" xfId="4" applyFont="1" applyFill="1"/>
    <xf numFmtId="0" fontId="7" fillId="3" borderId="0" xfId="7" applyFont="1" applyFill="1"/>
    <xf numFmtId="0" fontId="0" fillId="0" borderId="0" xfId="0" applyAlignment="1">
      <alignment horizontal="center"/>
    </xf>
    <xf numFmtId="0" fontId="2" fillId="3" borderId="0" xfId="7" applyFill="1"/>
    <xf numFmtId="9" fontId="5" fillId="2" borderId="0" xfId="4" applyNumberFormat="1" applyFont="1" applyFill="1" applyProtection="1">
      <protection locked="0"/>
    </xf>
    <xf numFmtId="3" fontId="18" fillId="2" borderId="0" xfId="4" applyNumberFormat="1" applyFont="1" applyFill="1"/>
    <xf numFmtId="0" fontId="2" fillId="0" borderId="0" xfId="4" applyProtection="1">
      <protection locked="0"/>
    </xf>
    <xf numFmtId="0" fontId="5" fillId="0" borderId="0" xfId="4" applyFont="1" applyProtection="1">
      <protection locked="0"/>
    </xf>
    <xf numFmtId="0" fontId="3" fillId="0" borderId="0" xfId="0" applyFont="1" applyAlignment="1">
      <alignment horizontal="right"/>
    </xf>
    <xf numFmtId="166" fontId="0" fillId="0" borderId="0" xfId="5" applyNumberFormat="1" applyFont="1" applyFill="1" applyBorder="1" applyAlignment="1">
      <alignment horizontal="center"/>
    </xf>
    <xf numFmtId="0" fontId="27" fillId="0" borderId="0" xfId="4" applyFont="1"/>
    <xf numFmtId="0" fontId="28" fillId="0" borderId="0" xfId="4" quotePrefix="1" applyFont="1"/>
    <xf numFmtId="0" fontId="3" fillId="3" borderId="0" xfId="7" applyFont="1" applyFill="1"/>
    <xf numFmtId="0" fontId="31" fillId="0" borderId="0" xfId="0" applyFont="1"/>
    <xf numFmtId="0" fontId="2" fillId="3" borderId="19" xfId="7" applyFill="1" applyBorder="1"/>
    <xf numFmtId="0" fontId="2" fillId="3" borderId="20" xfId="7" applyFill="1" applyBorder="1"/>
    <xf numFmtId="0" fontId="2" fillId="3" borderId="21" xfId="7" applyFill="1" applyBorder="1"/>
    <xf numFmtId="0" fontId="2" fillId="3" borderId="22" xfId="7" applyFill="1" applyBorder="1"/>
    <xf numFmtId="0" fontId="2" fillId="3" borderId="0" xfId="7" applyFill="1" applyAlignment="1">
      <alignment horizontal="right" vertical="center"/>
    </xf>
    <xf numFmtId="0" fontId="21" fillId="3" borderId="0" xfId="7" applyFont="1" applyFill="1" applyAlignment="1">
      <alignment horizontal="center"/>
    </xf>
    <xf numFmtId="0" fontId="21" fillId="3" borderId="23" xfId="7" applyFont="1" applyFill="1" applyBorder="1"/>
    <xf numFmtId="14" fontId="2" fillId="3" borderId="1" xfId="7" applyNumberFormat="1" applyFill="1" applyBorder="1" applyAlignment="1">
      <alignment horizontal="left"/>
    </xf>
    <xf numFmtId="0" fontId="2" fillId="3" borderId="25" xfId="7" applyFill="1" applyBorder="1" applyAlignment="1">
      <alignment horizontal="left"/>
    </xf>
    <xf numFmtId="0" fontId="2" fillId="3" borderId="2" xfId="7" applyFill="1" applyBorder="1" applyAlignment="1">
      <alignment horizontal="left"/>
    </xf>
    <xf numFmtId="0" fontId="2" fillId="3" borderId="23" xfId="7" applyFill="1" applyBorder="1" applyAlignment="1">
      <alignment horizontal="center"/>
    </xf>
    <xf numFmtId="0" fontId="2" fillId="3" borderId="23" xfId="7" applyFill="1" applyBorder="1"/>
    <xf numFmtId="0" fontId="2" fillId="3" borderId="27" xfId="7" applyFill="1" applyBorder="1" applyAlignment="1">
      <alignment vertical="top" wrapText="1"/>
    </xf>
    <xf numFmtId="0" fontId="2" fillId="3" borderId="26" xfId="7" applyFill="1" applyBorder="1"/>
    <xf numFmtId="0" fontId="2" fillId="3" borderId="27" xfId="7" applyFill="1" applyBorder="1"/>
    <xf numFmtId="0" fontId="2" fillId="3" borderId="27" xfId="7" applyFill="1" applyBorder="1" applyAlignment="1">
      <alignment horizontal="right"/>
    </xf>
    <xf numFmtId="0" fontId="2" fillId="3" borderId="28" xfId="7" applyFill="1" applyBorder="1"/>
    <xf numFmtId="171" fontId="2" fillId="3" borderId="20" xfId="6" applyNumberFormat="1" applyFont="1" applyFill="1" applyBorder="1" applyAlignment="1">
      <alignment vertical="top" wrapText="1"/>
    </xf>
    <xf numFmtId="171" fontId="2" fillId="3" borderId="21" xfId="6" applyNumberFormat="1" applyFont="1" applyFill="1" applyBorder="1" applyAlignment="1">
      <alignment vertical="top" wrapText="1"/>
    </xf>
    <xf numFmtId="0" fontId="2" fillId="3" borderId="0" xfId="7" applyFill="1" applyAlignment="1">
      <alignment horizontal="right"/>
    </xf>
    <xf numFmtId="171" fontId="2" fillId="3" borderId="23" xfId="6" applyNumberFormat="1" applyFont="1" applyFill="1" applyBorder="1" applyAlignment="1"/>
    <xf numFmtId="171" fontId="2" fillId="3" borderId="0" xfId="6" applyNumberFormat="1" applyFont="1" applyFill="1" applyAlignment="1"/>
    <xf numFmtId="0" fontId="35" fillId="3" borderId="0" xfId="7" applyFont="1" applyFill="1" applyAlignment="1">
      <alignment horizontal="right"/>
    </xf>
    <xf numFmtId="0" fontId="21" fillId="3" borderId="0" xfId="7" applyFont="1" applyFill="1"/>
    <xf numFmtId="0" fontId="21" fillId="3" borderId="0" xfId="7" applyFont="1" applyFill="1" applyAlignment="1">
      <alignment horizontal="right"/>
    </xf>
    <xf numFmtId="0" fontId="13" fillId="3" borderId="0" xfId="7" applyFont="1" applyFill="1" applyAlignment="1">
      <alignment vertical="top" wrapText="1"/>
    </xf>
    <xf numFmtId="0" fontId="13" fillId="3" borderId="22" xfId="7" applyFont="1" applyFill="1" applyBorder="1" applyAlignment="1">
      <alignment vertical="top" wrapText="1"/>
    </xf>
    <xf numFmtId="172" fontId="2" fillId="3" borderId="0" xfId="7" applyNumberFormat="1" applyFill="1"/>
    <xf numFmtId="0" fontId="32" fillId="3" borderId="0" xfId="7" applyFont="1" applyFill="1" applyAlignment="1">
      <alignment horizontal="center" vertical="center"/>
    </xf>
    <xf numFmtId="0" fontId="15" fillId="7" borderId="0" xfId="4" applyFont="1" applyFill="1"/>
    <xf numFmtId="0" fontId="36" fillId="7" borderId="0" xfId="4" applyFont="1" applyFill="1"/>
    <xf numFmtId="0" fontId="37" fillId="7" borderId="0" xfId="4" applyFont="1" applyFill="1"/>
    <xf numFmtId="0" fontId="19" fillId="7" borderId="40" xfId="4" applyFont="1" applyFill="1" applyBorder="1" applyAlignment="1">
      <alignment horizontal="center"/>
    </xf>
    <xf numFmtId="0" fontId="19" fillId="7" borderId="1" xfId="4" applyFont="1" applyFill="1" applyBorder="1" applyAlignment="1">
      <alignment horizontal="center"/>
    </xf>
    <xf numFmtId="0" fontId="38" fillId="13" borderId="33" xfId="0" applyFont="1" applyFill="1" applyBorder="1" applyAlignment="1">
      <alignment horizontal="left" vertical="center" indent="1"/>
    </xf>
    <xf numFmtId="173" fontId="2" fillId="3" borderId="33" xfId="5" applyNumberFormat="1" applyFont="1" applyFill="1" applyBorder="1" applyProtection="1">
      <protection locked="0"/>
    </xf>
    <xf numFmtId="0" fontId="39" fillId="3" borderId="34" xfId="0" applyFont="1" applyFill="1" applyBorder="1" applyAlignment="1">
      <alignment horizontal="left" vertical="center" indent="1"/>
    </xf>
    <xf numFmtId="173" fontId="2" fillId="3" borderId="34" xfId="5" applyNumberFormat="1" applyFont="1" applyFill="1" applyBorder="1" applyProtection="1">
      <protection locked="0"/>
    </xf>
    <xf numFmtId="0" fontId="39" fillId="3" borderId="34" xfId="0" applyFont="1" applyFill="1" applyBorder="1" applyAlignment="1">
      <alignment horizontal="left" vertical="center" wrapText="1" indent="1"/>
    </xf>
    <xf numFmtId="0" fontId="39" fillId="3" borderId="5" xfId="0" applyFont="1" applyFill="1" applyBorder="1" applyAlignment="1">
      <alignment horizontal="left" vertical="center" indent="1"/>
    </xf>
    <xf numFmtId="173" fontId="2" fillId="3" borderId="5" xfId="5" applyNumberFormat="1" applyFont="1" applyFill="1" applyBorder="1" applyProtection="1">
      <protection locked="0"/>
    </xf>
    <xf numFmtId="0" fontId="38" fillId="3" borderId="33" xfId="0" applyFont="1" applyFill="1" applyBorder="1" applyAlignment="1">
      <alignment horizontal="left" vertical="center" indent="1"/>
    </xf>
    <xf numFmtId="0" fontId="38" fillId="3" borderId="34" xfId="0" applyFont="1" applyFill="1" applyBorder="1" applyAlignment="1">
      <alignment horizontal="left" vertical="center" indent="1"/>
    </xf>
    <xf numFmtId="0" fontId="13" fillId="2" borderId="34" xfId="4" applyFont="1" applyFill="1" applyBorder="1"/>
    <xf numFmtId="0" fontId="13" fillId="2" borderId="34" xfId="4" applyFont="1" applyFill="1" applyBorder="1" applyAlignment="1">
      <alignment wrapText="1"/>
    </xf>
    <xf numFmtId="173" fontId="19" fillId="7" borderId="40" xfId="5" applyNumberFormat="1" applyFont="1" applyFill="1" applyBorder="1"/>
    <xf numFmtId="173" fontId="19" fillId="7" borderId="42" xfId="5" applyNumberFormat="1" applyFont="1" applyFill="1" applyBorder="1"/>
    <xf numFmtId="173" fontId="19" fillId="7" borderId="37" xfId="5" applyNumberFormat="1" applyFont="1" applyFill="1" applyBorder="1"/>
    <xf numFmtId="0" fontId="2" fillId="2" borderId="34" xfId="4" applyFill="1" applyBorder="1"/>
    <xf numFmtId="0" fontId="19" fillId="7" borderId="43" xfId="4" applyFont="1" applyFill="1" applyBorder="1"/>
    <xf numFmtId="0" fontId="19" fillId="7" borderId="44" xfId="4" applyFont="1" applyFill="1" applyBorder="1"/>
    <xf numFmtId="173" fontId="19" fillId="3" borderId="0" xfId="5" applyNumberFormat="1" applyFont="1" applyFill="1" applyBorder="1"/>
    <xf numFmtId="0" fontId="2" fillId="2" borderId="0" xfId="4" applyFill="1"/>
    <xf numFmtId="0" fontId="19" fillId="7" borderId="33" xfId="4" applyFont="1" applyFill="1" applyBorder="1"/>
    <xf numFmtId="173" fontId="19" fillId="8" borderId="33" xfId="8" applyNumberFormat="1" applyFont="1" applyFill="1" applyBorder="1"/>
    <xf numFmtId="0" fontId="2" fillId="2" borderId="34" xfId="4" applyFill="1" applyBorder="1" applyAlignment="1">
      <alignment horizontal="left" indent="1"/>
    </xf>
    <xf numFmtId="173" fontId="2" fillId="2" borderId="34" xfId="8" applyNumberFormat="1" applyFont="1" applyFill="1" applyBorder="1"/>
    <xf numFmtId="0" fontId="2" fillId="0" borderId="34" xfId="4" applyBorder="1" applyAlignment="1">
      <alignment horizontal="left" indent="1"/>
    </xf>
    <xf numFmtId="0" fontId="2" fillId="3" borderId="5" xfId="4" applyFill="1" applyBorder="1" applyAlignment="1">
      <alignment horizontal="left" indent="1"/>
    </xf>
    <xf numFmtId="173" fontId="2" fillId="2" borderId="5" xfId="8" applyNumberFormat="1" applyFont="1" applyFill="1" applyBorder="1"/>
    <xf numFmtId="0" fontId="2" fillId="2" borderId="0" xfId="4" applyFill="1" applyAlignment="1">
      <alignment horizontal="left" indent="1"/>
    </xf>
    <xf numFmtId="0" fontId="19" fillId="7" borderId="30" xfId="4" applyFont="1" applyFill="1" applyBorder="1"/>
    <xf numFmtId="173" fontId="2" fillId="2" borderId="1" xfId="8" applyNumberFormat="1" applyFont="1" applyFill="1" applyBorder="1"/>
    <xf numFmtId="173" fontId="2" fillId="2" borderId="25" xfId="8" applyNumberFormat="1" applyFont="1" applyFill="1" applyBorder="1"/>
    <xf numFmtId="173" fontId="2" fillId="2" borderId="2" xfId="8" applyNumberFormat="1" applyFont="1" applyFill="1" applyBorder="1"/>
    <xf numFmtId="0" fontId="19" fillId="7" borderId="45" xfId="4" applyFont="1" applyFill="1" applyBorder="1" applyAlignment="1">
      <alignment horizontal="center"/>
    </xf>
    <xf numFmtId="0" fontId="19" fillId="7" borderId="38" xfId="4" applyFont="1" applyFill="1" applyBorder="1" applyAlignment="1">
      <alignment horizontal="center"/>
    </xf>
    <xf numFmtId="41" fontId="13" fillId="3" borderId="0" xfId="8" applyFont="1" applyFill="1" applyBorder="1" applyAlignment="1">
      <alignment horizontal="center"/>
    </xf>
    <xf numFmtId="10" fontId="13" fillId="0" borderId="8" xfId="6" applyNumberFormat="1" applyFont="1" applyFill="1" applyBorder="1" applyAlignment="1">
      <alignment horizontal="center" vertical="center"/>
    </xf>
    <xf numFmtId="167" fontId="13" fillId="0" borderId="8" xfId="2" applyNumberFormat="1" applyFont="1" applyFill="1" applyBorder="1" applyAlignment="1">
      <alignment horizontal="right"/>
    </xf>
    <xf numFmtId="167" fontId="2" fillId="3" borderId="0" xfId="2" applyNumberFormat="1" applyFont="1" applyFill="1"/>
    <xf numFmtId="177" fontId="2" fillId="3" borderId="0" xfId="4" applyNumberFormat="1" applyFill="1"/>
    <xf numFmtId="164" fontId="2" fillId="3" borderId="0" xfId="4" applyNumberFormat="1" applyFill="1"/>
    <xf numFmtId="10" fontId="2" fillId="3" borderId="0" xfId="4" applyNumberFormat="1" applyFill="1"/>
    <xf numFmtId="2" fontId="13" fillId="0" borderId="8" xfId="6" applyNumberFormat="1" applyFont="1" applyFill="1" applyBorder="1" applyAlignment="1">
      <alignment horizontal="center" vertical="center"/>
    </xf>
    <xf numFmtId="43" fontId="35" fillId="3" borderId="0" xfId="1" applyFont="1" applyFill="1"/>
    <xf numFmtId="0" fontId="35" fillId="3" borderId="0" xfId="4" applyFont="1" applyFill="1"/>
    <xf numFmtId="0" fontId="2" fillId="2" borderId="0" xfId="4" applyFill="1" applyAlignment="1" applyProtection="1">
      <alignment horizontal="right"/>
      <protection locked="0"/>
    </xf>
    <xf numFmtId="0" fontId="2" fillId="2" borderId="0" xfId="4" applyFill="1" applyAlignment="1" applyProtection="1">
      <alignment horizontal="center" vertical="center"/>
      <protection locked="0"/>
    </xf>
    <xf numFmtId="0" fontId="2" fillId="2" borderId="0" xfId="4" applyFill="1" applyAlignment="1" applyProtection="1">
      <alignment horizontal="center"/>
      <protection locked="0"/>
    </xf>
    <xf numFmtId="3" fontId="2" fillId="2" borderId="0" xfId="2" applyNumberFormat="1" applyFont="1" applyFill="1" applyProtection="1">
      <protection locked="0"/>
    </xf>
    <xf numFmtId="2" fontId="2" fillId="2" borderId="0" xfId="4" applyNumberFormat="1" applyFill="1" applyAlignment="1" applyProtection="1">
      <alignment horizontal="center" vertical="center"/>
      <protection locked="0"/>
    </xf>
    <xf numFmtId="0" fontId="7" fillId="3" borderId="0" xfId="7" applyFont="1" applyFill="1" applyAlignment="1">
      <alignment wrapText="1"/>
    </xf>
    <xf numFmtId="10" fontId="5" fillId="5" borderId="1" xfId="4" applyNumberFormat="1" applyFont="1" applyFill="1" applyBorder="1" applyAlignment="1" applyProtection="1">
      <alignment horizontal="left" vertical="center"/>
      <protection locked="0"/>
    </xf>
    <xf numFmtId="175" fontId="20" fillId="3" borderId="34" xfId="5" applyNumberFormat="1" applyFont="1" applyFill="1" applyBorder="1" applyProtection="1">
      <protection locked="0"/>
    </xf>
    <xf numFmtId="173" fontId="20" fillId="3" borderId="34" xfId="5" applyNumberFormat="1" applyFont="1" applyFill="1" applyBorder="1" applyProtection="1">
      <protection locked="0"/>
    </xf>
    <xf numFmtId="164" fontId="5" fillId="2" borderId="0" xfId="4" applyNumberFormat="1" applyFont="1" applyFill="1" applyProtection="1">
      <protection locked="0"/>
    </xf>
    <xf numFmtId="0" fontId="21" fillId="0" borderId="0" xfId="4" applyFont="1"/>
    <xf numFmtId="0" fontId="21" fillId="0" borderId="0" xfId="4" applyFont="1" applyProtection="1">
      <protection locked="0"/>
    </xf>
    <xf numFmtId="0" fontId="2" fillId="0" borderId="35" xfId="4" applyBorder="1"/>
    <xf numFmtId="0" fontId="40" fillId="7" borderId="1" xfId="4" applyFont="1" applyFill="1" applyBorder="1"/>
    <xf numFmtId="0" fontId="40" fillId="7" borderId="2" xfId="4" applyFont="1" applyFill="1" applyBorder="1"/>
    <xf numFmtId="0" fontId="2" fillId="0" borderId="24" xfId="4" applyBorder="1"/>
    <xf numFmtId="3" fontId="2" fillId="0" borderId="8" xfId="4" applyNumberFormat="1" applyBorder="1" applyAlignment="1" applyProtection="1">
      <alignment horizontal="center"/>
      <protection locked="0"/>
    </xf>
    <xf numFmtId="0" fontId="2" fillId="0" borderId="30" xfId="4" applyBorder="1"/>
    <xf numFmtId="0" fontId="2" fillId="0" borderId="32" xfId="4" applyBorder="1"/>
    <xf numFmtId="0" fontId="2" fillId="0" borderId="35" xfId="4" applyBorder="1" applyAlignment="1">
      <alignment horizontal="right" indent="1"/>
    </xf>
    <xf numFmtId="0" fontId="57" fillId="0" borderId="35" xfId="4" applyFont="1" applyBorder="1"/>
    <xf numFmtId="0" fontId="2" fillId="0" borderId="35" xfId="4" applyBorder="1" applyAlignment="1">
      <alignment horizontal="right"/>
    </xf>
    <xf numFmtId="10" fontId="2" fillId="2" borderId="8" xfId="6" applyNumberFormat="1" applyFont="1" applyFill="1" applyBorder="1" applyAlignment="1">
      <alignment horizontal="center"/>
    </xf>
    <xf numFmtId="10" fontId="2" fillId="0" borderId="8" xfId="6" applyNumberFormat="1" applyFont="1" applyFill="1" applyBorder="1" applyAlignment="1" applyProtection="1">
      <alignment horizontal="center"/>
      <protection locked="0"/>
    </xf>
    <xf numFmtId="0" fontId="2" fillId="0" borderId="8" xfId="6" applyNumberFormat="1" applyFont="1" applyFill="1" applyBorder="1" applyAlignment="1" applyProtection="1">
      <alignment horizontal="center"/>
      <protection locked="0"/>
    </xf>
    <xf numFmtId="171" fontId="2" fillId="0" borderId="8" xfId="6" applyNumberFormat="1" applyFont="1" applyFill="1" applyBorder="1" applyAlignment="1" applyProtection="1">
      <alignment horizontal="center"/>
      <protection locked="0"/>
    </xf>
    <xf numFmtId="0" fontId="2" fillId="0" borderId="15" xfId="4" applyBorder="1" applyAlignment="1">
      <alignment horizontal="center"/>
    </xf>
    <xf numFmtId="3" fontId="2" fillId="0" borderId="8" xfId="5" applyNumberFormat="1" applyFont="1" applyFill="1" applyBorder="1" applyAlignment="1" applyProtection="1">
      <alignment horizontal="center"/>
      <protection locked="0"/>
    </xf>
    <xf numFmtId="9" fontId="2" fillId="0" borderId="8" xfId="6" applyFont="1" applyFill="1" applyBorder="1" applyAlignment="1" applyProtection="1">
      <alignment horizontal="center"/>
    </xf>
    <xf numFmtId="0" fontId="2" fillId="0" borderId="35" xfId="4" applyBorder="1" applyAlignment="1">
      <alignment vertical="top"/>
    </xf>
    <xf numFmtId="0" fontId="2" fillId="0" borderId="8" xfId="4" applyBorder="1" applyAlignment="1">
      <alignment horizontal="center"/>
    </xf>
    <xf numFmtId="166" fontId="17" fillId="0" borderId="8" xfId="5" applyNumberFormat="1" applyFont="1" applyFill="1" applyBorder="1" applyAlignment="1" applyProtection="1">
      <alignment horizontal="center"/>
      <protection locked="0"/>
    </xf>
    <xf numFmtId="0" fontId="2" fillId="0" borderId="32" xfId="4" applyBorder="1" applyAlignment="1">
      <alignment horizontal="center"/>
    </xf>
    <xf numFmtId="0" fontId="57" fillId="0" borderId="35" xfId="4" applyFont="1" applyBorder="1" applyAlignment="1">
      <alignment horizontal="right"/>
    </xf>
    <xf numFmtId="171" fontId="13" fillId="0" borderId="15" xfId="4" applyNumberFormat="1" applyFont="1" applyBorder="1" applyAlignment="1">
      <alignment horizontal="center"/>
    </xf>
    <xf numFmtId="166" fontId="17" fillId="0" borderId="8" xfId="5" applyNumberFormat="1" applyFont="1" applyFill="1" applyBorder="1" applyAlignment="1">
      <alignment horizontal="center"/>
    </xf>
    <xf numFmtId="0" fontId="21" fillId="0" borderId="35" xfId="4" applyFont="1" applyBorder="1" applyAlignment="1">
      <alignment horizontal="right"/>
    </xf>
    <xf numFmtId="171" fontId="19" fillId="0" borderId="24" xfId="4" applyNumberFormat="1" applyFont="1" applyBorder="1" applyAlignment="1">
      <alignment horizontal="center"/>
    </xf>
    <xf numFmtId="10" fontId="2" fillId="0" borderId="8" xfId="4" applyNumberFormat="1" applyBorder="1" applyProtection="1">
      <protection locked="0"/>
    </xf>
    <xf numFmtId="10" fontId="2" fillId="2" borderId="8" xfId="6" applyNumberFormat="1" applyFont="1" applyFill="1" applyBorder="1" applyAlignment="1">
      <alignment horizontal="left"/>
    </xf>
    <xf numFmtId="14" fontId="2" fillId="0" borderId="8" xfId="4" applyNumberFormat="1" applyBorder="1" applyProtection="1">
      <protection locked="0"/>
    </xf>
    <xf numFmtId="14" fontId="2" fillId="0" borderId="8" xfId="4" applyNumberFormat="1" applyBorder="1" applyAlignment="1" applyProtection="1">
      <alignment horizontal="center"/>
      <protection locked="0"/>
    </xf>
    <xf numFmtId="3" fontId="2" fillId="0" borderId="24" xfId="4" quotePrefix="1" applyNumberFormat="1" applyBorder="1" applyAlignment="1">
      <alignment horizontal="left"/>
    </xf>
    <xf numFmtId="0" fontId="13" fillId="0" borderId="35" xfId="4" applyFont="1" applyBorder="1" applyAlignment="1">
      <alignment vertical="center" wrapText="1"/>
    </xf>
    <xf numFmtId="0" fontId="13" fillId="0" borderId="24" xfId="4" applyFont="1" applyBorder="1" applyAlignment="1">
      <alignment vertical="center" wrapText="1"/>
    </xf>
    <xf numFmtId="0" fontId="19" fillId="0" borderId="2" xfId="4" applyFont="1" applyBorder="1" applyAlignment="1">
      <alignment horizontal="center"/>
    </xf>
    <xf numFmtId="0" fontId="2" fillId="0" borderId="24" xfId="4" applyBorder="1" applyAlignment="1">
      <alignment horizontal="center"/>
    </xf>
    <xf numFmtId="0" fontId="21" fillId="0" borderId="24" xfId="4" applyFont="1" applyBorder="1" applyAlignment="1">
      <alignment horizontal="center"/>
    </xf>
    <xf numFmtId="166" fontId="17" fillId="0" borderId="24" xfId="5" applyNumberFormat="1" applyFont="1" applyFill="1" applyBorder="1" applyAlignment="1" applyProtection="1">
      <alignment horizontal="center"/>
      <protection locked="0"/>
    </xf>
    <xf numFmtId="0" fontId="2" fillId="0" borderId="8" xfId="4" applyBorder="1" applyAlignment="1" applyProtection="1">
      <alignment horizontal="center"/>
      <protection locked="0"/>
    </xf>
    <xf numFmtId="10" fontId="2" fillId="0" borderId="8" xfId="4" applyNumberFormat="1" applyBorder="1" applyAlignment="1">
      <alignment horizontal="center"/>
    </xf>
    <xf numFmtId="0" fontId="2" fillId="2" borderId="1" xfId="4" applyFill="1" applyBorder="1" applyProtection="1">
      <protection locked="0"/>
    </xf>
    <xf numFmtId="0" fontId="2" fillId="2" borderId="25" xfId="4" applyFill="1" applyBorder="1" applyProtection="1">
      <protection locked="0"/>
    </xf>
    <xf numFmtId="0" fontId="5" fillId="2" borderId="2" xfId="4" applyFont="1" applyFill="1" applyBorder="1" applyProtection="1">
      <protection locked="0"/>
    </xf>
    <xf numFmtId="167" fontId="5" fillId="2" borderId="8" xfId="2" applyNumberFormat="1" applyFont="1" applyFill="1" applyBorder="1" applyProtection="1">
      <protection locked="0"/>
    </xf>
    <xf numFmtId="10" fontId="13" fillId="3" borderId="0" xfId="6" applyNumberFormat="1" applyFont="1" applyFill="1" applyBorder="1" applyAlignment="1">
      <alignment horizontal="center" vertical="center"/>
    </xf>
    <xf numFmtId="0" fontId="8" fillId="0" borderId="0" xfId="0" applyFont="1"/>
    <xf numFmtId="0" fontId="2" fillId="0" borderId="10" xfId="4" applyBorder="1" applyAlignment="1">
      <alignment horizontal="right" indent="1"/>
    </xf>
    <xf numFmtId="2" fontId="2" fillId="0" borderId="15" xfId="4" quotePrefix="1" applyNumberFormat="1" applyBorder="1" applyAlignment="1">
      <alignment horizontal="left"/>
    </xf>
    <xf numFmtId="0" fontId="19" fillId="0" borderId="10" xfId="4" applyFont="1" applyBorder="1" applyAlignment="1">
      <alignment horizontal="center"/>
    </xf>
    <xf numFmtId="171" fontId="21" fillId="3" borderId="0" xfId="6" applyNumberFormat="1" applyFont="1" applyFill="1" applyBorder="1" applyAlignment="1">
      <alignment horizontal="center"/>
    </xf>
    <xf numFmtId="10" fontId="2" fillId="3" borderId="0" xfId="6" applyNumberFormat="1" applyFont="1" applyFill="1" applyBorder="1" applyAlignment="1">
      <alignment horizontal="center" vertical="center"/>
    </xf>
    <xf numFmtId="172" fontId="5" fillId="2" borderId="8" xfId="4" applyNumberFormat="1" applyFont="1" applyFill="1" applyBorder="1" applyAlignment="1" applyProtection="1">
      <alignment horizontal="center" vertical="center"/>
      <protection locked="0"/>
    </xf>
    <xf numFmtId="172" fontId="5" fillId="0" borderId="8" xfId="4" applyNumberFormat="1" applyFont="1" applyBorder="1" applyAlignment="1" applyProtection="1">
      <alignment horizontal="center" vertical="center"/>
      <protection locked="0"/>
    </xf>
    <xf numFmtId="10" fontId="5" fillId="5" borderId="8" xfId="3" applyNumberFormat="1" applyFont="1" applyFill="1" applyBorder="1" applyAlignment="1" applyProtection="1">
      <alignment horizontal="center"/>
      <protection locked="0"/>
    </xf>
    <xf numFmtId="10" fontId="5" fillId="2" borderId="8" xfId="3" applyNumberFormat="1" applyFont="1" applyFill="1" applyBorder="1" applyAlignment="1" applyProtection="1">
      <alignment horizontal="center"/>
      <protection locked="0"/>
    </xf>
    <xf numFmtId="10" fontId="13" fillId="3" borderId="0" xfId="6" applyNumberFormat="1" applyFont="1" applyFill="1" applyBorder="1" applyAlignment="1">
      <alignment horizontal="left" vertical="center"/>
    </xf>
    <xf numFmtId="0" fontId="6" fillId="2" borderId="3" xfId="4" applyFont="1" applyFill="1" applyBorder="1" applyAlignment="1" applyProtection="1">
      <alignment horizontal="center" vertical="center"/>
      <protection locked="0"/>
    </xf>
    <xf numFmtId="167" fontId="2" fillId="2" borderId="0" xfId="2" applyNumberFormat="1" applyFont="1" applyFill="1" applyAlignment="1" applyProtection="1">
      <alignment horizontal="center"/>
      <protection locked="0"/>
    </xf>
    <xf numFmtId="10" fontId="2" fillId="2" borderId="0" xfId="3" applyNumberFormat="1" applyFont="1" applyFill="1" applyAlignment="1" applyProtection="1">
      <alignment horizontal="center"/>
      <protection locked="0"/>
    </xf>
    <xf numFmtId="2" fontId="2" fillId="2" borderId="0" xfId="4" applyNumberFormat="1" applyFill="1" applyAlignment="1" applyProtection="1">
      <alignment horizontal="center"/>
      <protection locked="0"/>
    </xf>
    <xf numFmtId="0" fontId="58" fillId="3" borderId="0" xfId="0" applyFont="1" applyFill="1"/>
    <xf numFmtId="170" fontId="5" fillId="3" borderId="0" xfId="4" applyNumberFormat="1" applyFont="1" applyFill="1" applyAlignment="1" applyProtection="1">
      <alignment horizontal="center" vertical="center"/>
      <protection locked="0"/>
    </xf>
    <xf numFmtId="0" fontId="5" fillId="3" borderId="0" xfId="4" applyFont="1" applyFill="1" applyAlignment="1" applyProtection="1">
      <alignment horizontal="left" vertical="center" wrapText="1"/>
      <protection locked="0"/>
    </xf>
    <xf numFmtId="167" fontId="5" fillId="3" borderId="0" xfId="2" applyNumberFormat="1" applyFont="1" applyFill="1" applyBorder="1" applyAlignment="1" applyProtection="1">
      <alignment horizontal="center" vertical="center" wrapText="1"/>
      <protection locked="0"/>
    </xf>
    <xf numFmtId="0" fontId="5" fillId="3" borderId="0" xfId="4" applyFont="1" applyFill="1" applyAlignment="1" applyProtection="1">
      <alignment horizontal="right"/>
      <protection locked="0"/>
    </xf>
    <xf numFmtId="10" fontId="5" fillId="3" borderId="0" xfId="4" applyNumberFormat="1" applyFont="1" applyFill="1" applyAlignment="1" applyProtection="1">
      <alignment horizontal="center" vertical="center"/>
      <protection locked="0"/>
    </xf>
    <xf numFmtId="9" fontId="5" fillId="3" borderId="0" xfId="4" applyNumberFormat="1" applyFont="1" applyFill="1" applyAlignment="1" applyProtection="1">
      <alignment horizontal="left"/>
      <protection locked="0"/>
    </xf>
    <xf numFmtId="167" fontId="5" fillId="3" borderId="0" xfId="2" applyNumberFormat="1" applyFont="1" applyFill="1" applyProtection="1">
      <protection locked="0"/>
    </xf>
    <xf numFmtId="0" fontId="59" fillId="3" borderId="0" xfId="4" applyFont="1" applyFill="1" applyAlignment="1" applyProtection="1">
      <alignment horizontal="left" vertical="center" wrapText="1"/>
      <protection locked="0"/>
    </xf>
    <xf numFmtId="167" fontId="59" fillId="3" borderId="0" xfId="2" applyNumberFormat="1" applyFont="1" applyFill="1" applyBorder="1" applyAlignment="1" applyProtection="1">
      <alignment horizontal="center" vertical="center" wrapText="1"/>
      <protection locked="0"/>
    </xf>
    <xf numFmtId="8" fontId="0" fillId="3" borderId="0" xfId="0" applyNumberFormat="1" applyFill="1"/>
    <xf numFmtId="167" fontId="2" fillId="2" borderId="0" xfId="4" applyNumberFormat="1" applyFill="1" applyProtection="1">
      <protection locked="0"/>
    </xf>
    <xf numFmtId="0" fontId="5" fillId="3" borderId="8" xfId="4" applyFont="1" applyFill="1" applyBorder="1" applyAlignment="1" applyProtection="1">
      <alignment horizontal="left" vertical="center" wrapText="1"/>
      <protection locked="0"/>
    </xf>
    <xf numFmtId="167" fontId="5" fillId="5" borderId="5" xfId="2" applyNumberFormat="1" applyFont="1" applyFill="1" applyBorder="1" applyAlignment="1" applyProtection="1">
      <alignment horizontal="center" vertical="center" wrapText="1"/>
      <protection locked="0"/>
    </xf>
    <xf numFmtId="0" fontId="13" fillId="2" borderId="34" xfId="4" applyFont="1" applyFill="1" applyBorder="1" applyAlignment="1">
      <alignment horizontal="left" vertical="center" wrapText="1"/>
    </xf>
    <xf numFmtId="0" fontId="13" fillId="2" borderId="8" xfId="4" applyFont="1" applyFill="1" applyBorder="1" applyAlignment="1" applyProtection="1">
      <alignment horizontal="center" vertical="center" wrapText="1"/>
      <protection locked="0"/>
    </xf>
    <xf numFmtId="0" fontId="2" fillId="2" borderId="6" xfId="4" applyFill="1" applyBorder="1" applyAlignment="1" applyProtection="1">
      <alignment horizontal="center" vertical="center" wrapText="1"/>
      <protection locked="0"/>
    </xf>
    <xf numFmtId="167" fontId="2" fillId="2" borderId="0" xfId="4" applyNumberFormat="1" applyFill="1" applyAlignment="1" applyProtection="1">
      <alignment horizontal="center" vertical="center" wrapText="1"/>
      <protection locked="0"/>
    </xf>
    <xf numFmtId="43" fontId="2" fillId="3" borderId="0" xfId="1" applyFont="1" applyFill="1"/>
    <xf numFmtId="1" fontId="2" fillId="3" borderId="0" xfId="1" applyNumberFormat="1" applyFont="1" applyFill="1" applyAlignment="1">
      <alignment horizontal="center" vertical="center"/>
    </xf>
    <xf numFmtId="1" fontId="2" fillId="3" borderId="0" xfId="1" quotePrefix="1" applyNumberFormat="1" applyFont="1" applyFill="1" applyAlignment="1">
      <alignment horizontal="center" vertical="center"/>
    </xf>
    <xf numFmtId="1" fontId="13" fillId="0" borderId="8" xfId="6" applyNumberFormat="1" applyFont="1" applyFill="1" applyBorder="1" applyAlignment="1">
      <alignment horizontal="center" vertical="center"/>
    </xf>
    <xf numFmtId="3" fontId="2" fillId="3" borderId="0" xfId="7" applyNumberFormat="1" applyFill="1" applyAlignment="1">
      <alignment horizontal="center"/>
    </xf>
    <xf numFmtId="173" fontId="2" fillId="3" borderId="33" xfId="5" applyNumberFormat="1" applyFont="1" applyFill="1" applyBorder="1"/>
    <xf numFmtId="173" fontId="2" fillId="3" borderId="5" xfId="5" applyNumberFormat="1" applyFont="1" applyFill="1" applyBorder="1"/>
    <xf numFmtId="0" fontId="19" fillId="7" borderId="39" xfId="4" applyFont="1" applyFill="1" applyBorder="1" applyAlignment="1">
      <alignment horizontal="center" vertical="center"/>
    </xf>
    <xf numFmtId="0" fontId="2" fillId="3" borderId="33" xfId="4" applyFill="1" applyBorder="1"/>
    <xf numFmtId="0" fontId="2" fillId="3" borderId="5" xfId="4" applyFill="1" applyBorder="1"/>
    <xf numFmtId="0" fontId="2" fillId="3" borderId="35" xfId="4" quotePrefix="1" applyFill="1" applyBorder="1" applyAlignment="1">
      <alignment horizontal="left"/>
    </xf>
    <xf numFmtId="0" fontId="19" fillId="3" borderId="0" xfId="4" applyFont="1" applyFill="1" applyAlignment="1">
      <alignment horizontal="center"/>
    </xf>
    <xf numFmtId="173" fontId="2" fillId="3" borderId="34" xfId="9" applyNumberFormat="1" applyFont="1" applyFill="1" applyBorder="1" applyAlignment="1">
      <alignment horizontal="center"/>
    </xf>
    <xf numFmtId="0" fontId="2" fillId="3" borderId="35" xfId="4" quotePrefix="1" applyFill="1" applyBorder="1"/>
    <xf numFmtId="173" fontId="20" fillId="3" borderId="34" xfId="9" applyNumberFormat="1" applyFont="1" applyFill="1" applyBorder="1" applyAlignment="1">
      <alignment horizontal="center"/>
    </xf>
    <xf numFmtId="1" fontId="13" fillId="3" borderId="0" xfId="6" applyNumberFormat="1" applyFont="1" applyFill="1" applyBorder="1" applyAlignment="1">
      <alignment horizontal="center" vertical="center"/>
    </xf>
    <xf numFmtId="0" fontId="15" fillId="3" borderId="0" xfId="4" applyFont="1" applyFill="1"/>
    <xf numFmtId="3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37" fontId="0" fillId="0" borderId="0" xfId="0" applyNumberFormat="1" applyAlignment="1">
      <alignment vertical="center"/>
    </xf>
    <xf numFmtId="3" fontId="60" fillId="0" borderId="0" xfId="0" applyNumberFormat="1" applyFont="1" applyAlignment="1">
      <alignment vertical="center"/>
    </xf>
    <xf numFmtId="37" fontId="60" fillId="0" borderId="0" xfId="0" applyNumberFormat="1" applyFont="1" applyAlignment="1">
      <alignment vertical="center"/>
    </xf>
    <xf numFmtId="0" fontId="13" fillId="2" borderId="0" xfId="4" applyFont="1" applyFill="1"/>
    <xf numFmtId="182" fontId="61" fillId="3" borderId="0" xfId="8" applyNumberFormat="1" applyFont="1" applyFill="1" applyBorder="1" applyAlignment="1">
      <alignment horizontal="center"/>
    </xf>
    <xf numFmtId="178" fontId="62" fillId="3" borderId="0" xfId="1" applyNumberFormat="1" applyFont="1" applyFill="1"/>
    <xf numFmtId="173" fontId="2" fillId="3" borderId="33" xfId="9" applyNumberFormat="1" applyFont="1" applyFill="1" applyBorder="1" applyAlignment="1">
      <alignment horizontal="center"/>
    </xf>
    <xf numFmtId="173" fontId="13" fillId="3" borderId="34" xfId="9" applyNumberFormat="1" applyFont="1" applyFill="1" applyBorder="1" applyAlignment="1">
      <alignment horizontal="center"/>
    </xf>
    <xf numFmtId="173" fontId="13" fillId="3" borderId="5" xfId="9" applyNumberFormat="1" applyFont="1" applyFill="1" applyBorder="1" applyAlignment="1">
      <alignment horizontal="center"/>
    </xf>
    <xf numFmtId="0" fontId="2" fillId="3" borderId="35" xfId="4" applyFill="1" applyBorder="1" applyAlignment="1">
      <alignment horizontal="left"/>
    </xf>
    <xf numFmtId="0" fontId="13" fillId="3" borderId="35" xfId="4" applyFont="1" applyFill="1" applyBorder="1" applyAlignment="1">
      <alignment horizontal="left"/>
    </xf>
    <xf numFmtId="0" fontId="13" fillId="3" borderId="30" xfId="4" applyFont="1" applyFill="1" applyBorder="1" applyAlignment="1">
      <alignment horizontal="left"/>
    </xf>
    <xf numFmtId="0" fontId="5" fillId="2" borderId="60" xfId="4" applyFont="1" applyFill="1" applyBorder="1" applyAlignment="1" applyProtection="1">
      <alignment horizontal="center" vertical="center"/>
      <protection locked="0"/>
    </xf>
    <xf numFmtId="0" fontId="38" fillId="3" borderId="0" xfId="4" applyFont="1" applyFill="1"/>
    <xf numFmtId="0" fontId="17" fillId="2" borderId="0" xfId="4" applyFont="1" applyFill="1"/>
    <xf numFmtId="173" fontId="17" fillId="3" borderId="0" xfId="5" applyNumberFormat="1" applyFont="1" applyFill="1" applyBorder="1"/>
    <xf numFmtId="0" fontId="2" fillId="3" borderId="0" xfId="4" applyFill="1" applyAlignment="1">
      <alignment horizontal="right"/>
    </xf>
    <xf numFmtId="3" fontId="2" fillId="3" borderId="0" xfId="6" applyNumberFormat="1" applyFont="1" applyFill="1" applyBorder="1" applyAlignment="1">
      <alignment horizontal="center" vertical="center"/>
    </xf>
    <xf numFmtId="167" fontId="5" fillId="2" borderId="0" xfId="4" applyNumberFormat="1" applyFont="1" applyFill="1" applyProtection="1">
      <protection locked="0"/>
    </xf>
    <xf numFmtId="167" fontId="0" fillId="3" borderId="0" xfId="0" applyNumberFormat="1" applyFill="1"/>
    <xf numFmtId="167" fontId="18" fillId="2" borderId="0" xfId="4" applyNumberFormat="1" applyFont="1" applyFill="1" applyProtection="1">
      <protection locked="0"/>
    </xf>
    <xf numFmtId="167" fontId="2" fillId="3" borderId="0" xfId="4" applyNumberFormat="1" applyFill="1" applyProtection="1">
      <protection locked="0"/>
    </xf>
    <xf numFmtId="183" fontId="17" fillId="2" borderId="0" xfId="4" applyNumberFormat="1" applyFont="1" applyFill="1"/>
    <xf numFmtId="9" fontId="0" fillId="3" borderId="0" xfId="3" applyFont="1" applyFill="1"/>
    <xf numFmtId="184" fontId="2" fillId="2" borderId="33" xfId="7" applyNumberFormat="1" applyFill="1" applyBorder="1"/>
    <xf numFmtId="185" fontId="21" fillId="7" borderId="38" xfId="7" applyNumberFormat="1" applyFont="1" applyFill="1" applyBorder="1" applyAlignment="1">
      <alignment horizontal="center"/>
    </xf>
    <xf numFmtId="185" fontId="21" fillId="7" borderId="2" xfId="7" applyNumberFormat="1" applyFont="1" applyFill="1" applyBorder="1" applyAlignment="1">
      <alignment horizontal="center"/>
    </xf>
    <xf numFmtId="185" fontId="2" fillId="2" borderId="33" xfId="7" applyNumberFormat="1" applyFill="1" applyBorder="1" applyAlignment="1">
      <alignment horizontal="center"/>
    </xf>
    <xf numFmtId="185" fontId="2" fillId="3" borderId="5" xfId="7" applyNumberFormat="1" applyFill="1" applyBorder="1" applyProtection="1">
      <protection locked="0"/>
    </xf>
    <xf numFmtId="0" fontId="20" fillId="2" borderId="15" xfId="7" applyFont="1" applyFill="1" applyBorder="1"/>
    <xf numFmtId="14" fontId="19" fillId="7" borderId="61" xfId="7" applyNumberFormat="1" applyFont="1" applyFill="1" applyBorder="1"/>
    <xf numFmtId="14" fontId="2" fillId="2" borderId="15" xfId="7" applyNumberFormat="1" applyFill="1" applyBorder="1" applyAlignment="1">
      <alignment vertical="center" wrapText="1"/>
    </xf>
    <xf numFmtId="14" fontId="19" fillId="7" borderId="61" xfId="7" applyNumberFormat="1" applyFont="1" applyFill="1" applyBorder="1" applyAlignment="1">
      <alignment vertical="center" wrapText="1"/>
    </xf>
    <xf numFmtId="49" fontId="13" fillId="2" borderId="34" xfId="7" applyNumberFormat="1" applyFont="1" applyFill="1" applyBorder="1" applyAlignment="1">
      <alignment horizontal="center"/>
    </xf>
    <xf numFmtId="49" fontId="19" fillId="7" borderId="64" xfId="7" applyNumberFormat="1" applyFont="1" applyFill="1" applyBorder="1"/>
    <xf numFmtId="49" fontId="19" fillId="7" borderId="65" xfId="7" applyNumberFormat="1" applyFont="1" applyFill="1" applyBorder="1"/>
    <xf numFmtId="49" fontId="19" fillId="7" borderId="62" xfId="7" applyNumberFormat="1" applyFont="1" applyFill="1" applyBorder="1"/>
    <xf numFmtId="49" fontId="19" fillId="7" borderId="66" xfId="7" applyNumberFormat="1" applyFont="1" applyFill="1" applyBorder="1"/>
    <xf numFmtId="49" fontId="19" fillId="7" borderId="24" xfId="7" applyNumberFormat="1" applyFont="1" applyFill="1" applyBorder="1"/>
    <xf numFmtId="49" fontId="19" fillId="7" borderId="63" xfId="7" applyNumberFormat="1" applyFont="1" applyFill="1" applyBorder="1"/>
    <xf numFmtId="0" fontId="19" fillId="7" borderId="30" xfId="7" applyFont="1" applyFill="1" applyBorder="1" applyAlignment="1">
      <alignment horizontal="centerContinuous" vertical="center"/>
    </xf>
    <xf numFmtId="0" fontId="19" fillId="7" borderId="31" xfId="7" applyFont="1" applyFill="1" applyBorder="1" applyAlignment="1">
      <alignment horizontal="centerContinuous" vertical="center"/>
    </xf>
    <xf numFmtId="0" fontId="19" fillId="7" borderId="32" xfId="7" applyFont="1" applyFill="1" applyBorder="1" applyAlignment="1">
      <alignment horizontal="centerContinuous" vertical="center"/>
    </xf>
    <xf numFmtId="49" fontId="15" fillId="7" borderId="1" xfId="7" applyNumberFormat="1" applyFont="1" applyFill="1" applyBorder="1"/>
    <xf numFmtId="0" fontId="15" fillId="7" borderId="25" xfId="7" applyFont="1" applyFill="1" applyBorder="1"/>
    <xf numFmtId="0" fontId="18" fillId="7" borderId="25" xfId="7" applyFont="1" applyFill="1" applyBorder="1"/>
    <xf numFmtId="0" fontId="18" fillId="7" borderId="2" xfId="7" applyFont="1" applyFill="1" applyBorder="1"/>
    <xf numFmtId="185" fontId="13" fillId="11" borderId="34" xfId="4" applyNumberFormat="1" applyFont="1" applyFill="1" applyBorder="1" applyAlignment="1">
      <alignment horizontal="center"/>
    </xf>
    <xf numFmtId="0" fontId="2" fillId="3" borderId="34" xfId="4" applyFill="1" applyBorder="1"/>
    <xf numFmtId="49" fontId="2" fillId="2" borderId="0" xfId="7" applyNumberFormat="1" applyFill="1"/>
    <xf numFmtId="49" fontId="19" fillId="7" borderId="43" xfId="7" applyNumberFormat="1" applyFont="1" applyFill="1" applyBorder="1" applyAlignment="1">
      <alignment horizontal="center"/>
    </xf>
    <xf numFmtId="0" fontId="19" fillId="7" borderId="67" xfId="7" applyFont="1" applyFill="1" applyBorder="1" applyAlignment="1">
      <alignment horizontal="center"/>
    </xf>
    <xf numFmtId="0" fontId="19" fillId="7" borderId="68" xfId="7" applyFont="1" applyFill="1" applyBorder="1" applyAlignment="1">
      <alignment horizontal="center"/>
    </xf>
    <xf numFmtId="0" fontId="19" fillId="7" borderId="15" xfId="7" applyFont="1" applyFill="1" applyBorder="1" applyAlignment="1">
      <alignment horizontal="center"/>
    </xf>
    <xf numFmtId="173" fontId="19" fillId="7" borderId="69" xfId="5" applyNumberFormat="1" applyFont="1" applyFill="1" applyBorder="1"/>
    <xf numFmtId="0" fontId="20" fillId="3" borderId="8" xfId="4" applyFont="1" applyFill="1" applyBorder="1" applyAlignment="1">
      <alignment horizontal="right"/>
    </xf>
    <xf numFmtId="10" fontId="20" fillId="3" borderId="8" xfId="3" applyNumberFormat="1" applyFont="1" applyFill="1" applyBorder="1" applyProtection="1">
      <protection locked="0"/>
    </xf>
    <xf numFmtId="173" fontId="0" fillId="3" borderId="0" xfId="0" applyNumberFormat="1" applyFill="1"/>
    <xf numFmtId="167" fontId="0" fillId="3" borderId="0" xfId="2" applyNumberFormat="1" applyFont="1" applyFill="1"/>
    <xf numFmtId="167" fontId="63" fillId="3" borderId="0" xfId="4" applyNumberFormat="1" applyFont="1" applyFill="1"/>
    <xf numFmtId="0" fontId="20" fillId="3" borderId="35" xfId="4" applyFont="1" applyFill="1" applyBorder="1" applyAlignment="1">
      <alignment horizontal="right"/>
    </xf>
    <xf numFmtId="0" fontId="20" fillId="2" borderId="34" xfId="4" applyFont="1" applyFill="1" applyBorder="1" applyAlignment="1">
      <alignment horizontal="left" wrapText="1"/>
    </xf>
    <xf numFmtId="0" fontId="64" fillId="3" borderId="0" xfId="0" applyFont="1" applyFill="1"/>
    <xf numFmtId="0" fontId="5" fillId="2" borderId="0" xfId="4" applyFont="1" applyFill="1" applyAlignment="1" applyProtection="1">
      <alignment horizontal="center" vertical="center"/>
      <protection locked="0"/>
    </xf>
    <xf numFmtId="0" fontId="5" fillId="3" borderId="8" xfId="4" applyFont="1" applyFill="1" applyBorder="1" applyAlignment="1" applyProtection="1">
      <alignment horizontal="center" vertical="center" wrapText="1"/>
      <protection locked="0"/>
    </xf>
    <xf numFmtId="43" fontId="20" fillId="3" borderId="0" xfId="1" applyFont="1" applyFill="1"/>
    <xf numFmtId="0" fontId="65" fillId="3" borderId="0" xfId="4" applyFont="1" applyFill="1"/>
    <xf numFmtId="0" fontId="0" fillId="3" borderId="0" xfId="0" applyFill="1" applyAlignment="1">
      <alignment horizontal="right"/>
    </xf>
    <xf numFmtId="1" fontId="5" fillId="5" borderId="8" xfId="4" applyNumberFormat="1" applyFont="1" applyFill="1" applyBorder="1" applyAlignment="1" applyProtection="1">
      <alignment horizontal="center" vertical="center"/>
      <protection locked="0"/>
    </xf>
    <xf numFmtId="173" fontId="19" fillId="7" borderId="70" xfId="5" applyNumberFormat="1" applyFont="1" applyFill="1" applyBorder="1"/>
    <xf numFmtId="173" fontId="19" fillId="7" borderId="71" xfId="5" applyNumberFormat="1" applyFont="1" applyFill="1" applyBorder="1"/>
    <xf numFmtId="173" fontId="19" fillId="7" borderId="41" xfId="5" applyNumberFormat="1" applyFont="1" applyFill="1" applyBorder="1"/>
    <xf numFmtId="173" fontId="0" fillId="3" borderId="0" xfId="0" applyNumberFormat="1" applyFill="1" applyAlignment="1">
      <alignment horizontal="center" vertical="center"/>
    </xf>
    <xf numFmtId="0" fontId="13" fillId="3" borderId="0" xfId="4" applyFont="1" applyFill="1" applyAlignment="1">
      <alignment horizontal="right"/>
    </xf>
    <xf numFmtId="0" fontId="66" fillId="3" borderId="0" xfId="4" applyFont="1" applyFill="1" applyAlignment="1">
      <alignment horizontal="right"/>
    </xf>
    <xf numFmtId="0" fontId="66" fillId="3" borderId="0" xfId="4" applyFont="1" applyFill="1" applyAlignment="1">
      <alignment horizontal="center"/>
    </xf>
    <xf numFmtId="0" fontId="67" fillId="3" borderId="0" xfId="4" applyFont="1" applyFill="1" applyAlignment="1">
      <alignment horizontal="left"/>
    </xf>
    <xf numFmtId="0" fontId="68" fillId="3" borderId="0" xfId="0" applyFont="1" applyFill="1"/>
    <xf numFmtId="0" fontId="69" fillId="3" borderId="0" xfId="4" applyFont="1" applyFill="1" applyAlignment="1">
      <alignment horizontal="left"/>
    </xf>
    <xf numFmtId="167" fontId="0" fillId="0" borderId="0" xfId="2" applyNumberFormat="1" applyFont="1"/>
    <xf numFmtId="9" fontId="2" fillId="5" borderId="0" xfId="3" applyFont="1" applyFill="1" applyBorder="1"/>
    <xf numFmtId="14" fontId="38" fillId="3" borderId="0" xfId="4" applyNumberFormat="1" applyFont="1" applyFill="1"/>
    <xf numFmtId="0" fontId="13" fillId="3" borderId="24" xfId="4" applyFont="1" applyFill="1" applyBorder="1" applyAlignment="1">
      <alignment horizontal="center"/>
    </xf>
    <xf numFmtId="3" fontId="2" fillId="2" borderId="0" xfId="4" applyNumberFormat="1" applyFill="1" applyAlignment="1">
      <alignment horizontal="center" vertical="center"/>
    </xf>
    <xf numFmtId="3" fontId="2" fillId="2" borderId="0" xfId="4" quotePrefix="1" applyNumberFormat="1" applyFill="1" applyAlignment="1">
      <alignment horizontal="center" vertical="center"/>
    </xf>
    <xf numFmtId="2" fontId="7" fillId="0" borderId="0" xfId="4" applyNumberFormat="1" applyFont="1" applyAlignment="1">
      <alignment horizontal="center" vertical="center"/>
    </xf>
    <xf numFmtId="0" fontId="5" fillId="2" borderId="11" xfId="4" applyFont="1" applyFill="1" applyBorder="1" applyAlignment="1" applyProtection="1">
      <alignment horizontal="left" vertical="center"/>
      <protection locked="0"/>
    </xf>
    <xf numFmtId="0" fontId="70" fillId="2" borderId="0" xfId="75" applyFill="1" applyProtection="1">
      <protection locked="0"/>
    </xf>
    <xf numFmtId="10" fontId="0" fillId="0" borderId="0" xfId="3" applyNumberFormat="1" applyFont="1"/>
    <xf numFmtId="10" fontId="2" fillId="2" borderId="0" xfId="4" applyNumberFormat="1" applyFill="1" applyAlignment="1" applyProtection="1">
      <alignment horizontal="left"/>
      <protection locked="0"/>
    </xf>
    <xf numFmtId="0" fontId="5" fillId="4" borderId="0" xfId="4" applyFont="1" applyFill="1" applyAlignment="1" applyProtection="1">
      <alignment horizontal="center"/>
      <protection locked="0"/>
    </xf>
    <xf numFmtId="10" fontId="5" fillId="31" borderId="0" xfId="3" applyNumberFormat="1" applyFont="1" applyFill="1" applyAlignment="1" applyProtection="1">
      <alignment horizontal="center"/>
      <protection locked="0"/>
    </xf>
    <xf numFmtId="0" fontId="71" fillId="3" borderId="0" xfId="0" applyFont="1" applyFill="1"/>
    <xf numFmtId="172" fontId="2" fillId="2" borderId="0" xfId="4" applyNumberFormat="1" applyFill="1" applyAlignment="1" applyProtection="1">
      <alignment horizontal="left"/>
      <protection locked="0"/>
    </xf>
    <xf numFmtId="2" fontId="5" fillId="5" borderId="8" xfId="4" applyNumberFormat="1" applyFont="1" applyFill="1" applyBorder="1" applyAlignment="1" applyProtection="1">
      <alignment horizontal="center" vertical="center"/>
      <protection locked="0"/>
    </xf>
    <xf numFmtId="0" fontId="5" fillId="2" borderId="14" xfId="4" applyFont="1" applyFill="1" applyBorder="1" applyAlignment="1" applyProtection="1">
      <alignment horizontal="left" vertical="center" wrapText="1"/>
      <protection locked="0"/>
    </xf>
    <xf numFmtId="168" fontId="5" fillId="0" borderId="8" xfId="4" applyNumberFormat="1" applyFont="1" applyBorder="1" applyAlignment="1" applyProtection="1">
      <alignment horizontal="center" vertical="center"/>
      <protection locked="0"/>
    </xf>
    <xf numFmtId="0" fontId="71" fillId="0" borderId="0" xfId="0" applyFont="1"/>
    <xf numFmtId="0" fontId="13" fillId="8" borderId="8" xfId="4" applyFont="1" applyFill="1" applyBorder="1"/>
    <xf numFmtId="173" fontId="13" fillId="8" borderId="8" xfId="5" applyNumberFormat="1" applyFont="1" applyFill="1" applyBorder="1"/>
    <xf numFmtId="173" fontId="2" fillId="8" borderId="8" xfId="5" applyNumberFormat="1" applyFont="1" applyFill="1" applyBorder="1"/>
    <xf numFmtId="173" fontId="13" fillId="8" borderId="33" xfId="8" applyNumberFormat="1" applyFont="1" applyFill="1" applyBorder="1"/>
    <xf numFmtId="0" fontId="13" fillId="8" borderId="1" xfId="4" applyFont="1" applyFill="1" applyBorder="1"/>
    <xf numFmtId="173" fontId="13" fillId="8" borderId="8" xfId="8" applyNumberFormat="1" applyFont="1" applyFill="1" applyBorder="1" applyAlignment="1">
      <alignment horizontal="center"/>
    </xf>
    <xf numFmtId="171" fontId="5" fillId="5" borderId="8" xfId="3" applyNumberFormat="1" applyFont="1" applyFill="1" applyBorder="1" applyAlignment="1" applyProtection="1">
      <alignment horizontal="center" vertical="center"/>
      <protection locked="0"/>
    </xf>
    <xf numFmtId="8" fontId="2" fillId="2" borderId="0" xfId="4" applyNumberFormat="1" applyFill="1" applyProtection="1">
      <protection locked="0"/>
    </xf>
    <xf numFmtId="187" fontId="5" fillId="3" borderId="0" xfId="4" applyNumberFormat="1" applyFont="1" applyFill="1" applyAlignment="1" applyProtection="1">
      <alignment horizontal="center" vertical="center"/>
      <protection locked="0"/>
    </xf>
    <xf numFmtId="3" fontId="0" fillId="0" borderId="0" xfId="0" applyNumberFormat="1"/>
    <xf numFmtId="0" fontId="72" fillId="0" borderId="0" xfId="0" applyFont="1"/>
    <xf numFmtId="188" fontId="72" fillId="0" borderId="0" xfId="0" applyNumberFormat="1" applyFont="1"/>
    <xf numFmtId="177" fontId="72" fillId="0" borderId="0" xfId="3" applyNumberFormat="1" applyFont="1"/>
    <xf numFmtId="0" fontId="73" fillId="0" borderId="8" xfId="76" applyFont="1" applyBorder="1" applyAlignment="1">
      <alignment vertical="center"/>
    </xf>
    <xf numFmtId="188" fontId="74" fillId="0" borderId="8" xfId="76" applyNumberFormat="1" applyFont="1" applyBorder="1" applyAlignment="1">
      <alignment vertical="center"/>
    </xf>
    <xf numFmtId="0" fontId="74" fillId="0" borderId="8" xfId="76" applyFont="1" applyBorder="1" applyAlignment="1">
      <alignment vertical="center"/>
    </xf>
    <xf numFmtId="0" fontId="73" fillId="0" borderId="8" xfId="76" applyFont="1" applyBorder="1" applyAlignment="1">
      <alignment horizontal="right" vertical="center"/>
    </xf>
    <xf numFmtId="0" fontId="75" fillId="3" borderId="8" xfId="0" applyFont="1" applyFill="1" applyBorder="1" applyAlignment="1" applyProtection="1">
      <alignment horizontal="left" wrapText="1"/>
      <protection locked="0"/>
    </xf>
    <xf numFmtId="0" fontId="74" fillId="0" borderId="8" xfId="76" quotePrefix="1" applyFont="1" applyBorder="1" applyAlignment="1">
      <alignment vertical="center"/>
    </xf>
    <xf numFmtId="0" fontId="73" fillId="0" borderId="8" xfId="76" applyFont="1" applyBorder="1" applyAlignment="1">
      <alignment horizontal="left" vertical="center"/>
    </xf>
    <xf numFmtId="0" fontId="73" fillId="0" borderId="8" xfId="76" quotePrefix="1" applyFont="1" applyBorder="1" applyAlignment="1">
      <alignment horizontal="left" vertical="center"/>
    </xf>
    <xf numFmtId="0" fontId="74" fillId="0" borderId="8" xfId="76" applyFont="1" applyBorder="1" applyAlignment="1">
      <alignment horizontal="left" vertical="center"/>
    </xf>
    <xf numFmtId="0" fontId="74" fillId="0" borderId="8" xfId="76" quotePrefix="1" applyFont="1" applyBorder="1" applyAlignment="1">
      <alignment horizontal="left" vertical="center"/>
    </xf>
    <xf numFmtId="0" fontId="74" fillId="0" borderId="8" xfId="76" applyFont="1" applyBorder="1" applyAlignment="1">
      <alignment vertical="center" wrapText="1"/>
    </xf>
    <xf numFmtId="0" fontId="74" fillId="0" borderId="8" xfId="76" applyFont="1" applyBorder="1" applyAlignment="1">
      <alignment horizontal="left" vertical="center" wrapText="1"/>
    </xf>
    <xf numFmtId="0" fontId="75" fillId="3" borderId="8" xfId="0" applyFont="1" applyFill="1" applyBorder="1" applyAlignment="1" applyProtection="1">
      <alignment horizontal="left" vertical="center"/>
      <protection locked="0"/>
    </xf>
    <xf numFmtId="0" fontId="77" fillId="0" borderId="8" xfId="76" quotePrefix="1" applyFont="1" applyBorder="1" applyAlignment="1">
      <alignment vertical="center"/>
    </xf>
    <xf numFmtId="0" fontId="77" fillId="0" borderId="8" xfId="76" applyFont="1" applyBorder="1" applyAlignment="1">
      <alignment vertical="center"/>
    </xf>
    <xf numFmtId="189" fontId="74" fillId="0" borderId="8" xfId="76" applyNumberFormat="1" applyFont="1" applyBorder="1" applyAlignment="1">
      <alignment vertical="center"/>
    </xf>
    <xf numFmtId="189" fontId="73" fillId="0" borderId="8" xfId="76" applyNumberFormat="1" applyFont="1" applyBorder="1" applyAlignment="1">
      <alignment vertical="center"/>
    </xf>
    <xf numFmtId="189" fontId="74" fillId="0" borderId="8" xfId="76" applyNumberFormat="1" applyFont="1" applyBorder="1" applyAlignment="1">
      <alignment horizontal="left" vertical="center"/>
    </xf>
    <xf numFmtId="189" fontId="74" fillId="0" borderId="8" xfId="76" applyNumberFormat="1" applyFont="1" applyBorder="1" applyAlignment="1">
      <alignment horizontal="right" vertical="center"/>
    </xf>
    <xf numFmtId="189" fontId="76" fillId="0" borderId="8" xfId="76" applyNumberFormat="1" applyFont="1" applyBorder="1" applyAlignment="1">
      <alignment horizontal="right" vertical="center"/>
    </xf>
    <xf numFmtId="0" fontId="74" fillId="0" borderId="8" xfId="76" quotePrefix="1" applyFont="1" applyBorder="1" applyAlignment="1">
      <alignment horizontal="left" vertical="center" wrapText="1"/>
    </xf>
    <xf numFmtId="6" fontId="72" fillId="0" borderId="0" xfId="0" applyNumberFormat="1" applyFont="1"/>
    <xf numFmtId="167" fontId="72" fillId="0" borderId="0" xfId="0" applyNumberFormat="1" applyFont="1"/>
    <xf numFmtId="10" fontId="72" fillId="0" borderId="0" xfId="3" applyNumberFormat="1" applyFont="1"/>
    <xf numFmtId="165" fontId="72" fillId="0" borderId="0" xfId="2" applyFont="1"/>
    <xf numFmtId="0" fontId="19" fillId="7" borderId="0" xfId="4" applyFont="1" applyFill="1" applyAlignment="1">
      <alignment horizontal="center" vertical="center"/>
    </xf>
    <xf numFmtId="0" fontId="6" fillId="2" borderId="75" xfId="4" applyFont="1" applyFill="1" applyBorder="1" applyAlignment="1" applyProtection="1">
      <alignment horizontal="center" vertical="center"/>
      <protection locked="0"/>
    </xf>
    <xf numFmtId="167" fontId="5" fillId="5" borderId="7" xfId="2" applyNumberFormat="1" applyFont="1" applyFill="1" applyBorder="1" applyAlignment="1" applyProtection="1">
      <alignment horizontal="left" vertical="center" wrapText="1"/>
      <protection locked="0"/>
    </xf>
    <xf numFmtId="167" fontId="5" fillId="5" borderId="12" xfId="2" applyNumberFormat="1" applyFont="1" applyFill="1" applyBorder="1" applyAlignment="1" applyProtection="1">
      <alignment horizontal="left" vertical="center" wrapText="1"/>
      <protection locked="0"/>
    </xf>
    <xf numFmtId="165" fontId="5" fillId="5" borderId="8" xfId="2" applyFont="1" applyFill="1" applyBorder="1" applyAlignment="1" applyProtection="1">
      <alignment horizontal="center" vertical="center"/>
      <protection locked="0"/>
    </xf>
    <xf numFmtId="0" fontId="14" fillId="25" borderId="8" xfId="77" applyFont="1" applyFill="1" applyBorder="1" applyAlignment="1">
      <alignment horizontal="center" vertical="center"/>
    </xf>
    <xf numFmtId="0" fontId="14" fillId="0" borderId="0" xfId="77" applyFont="1" applyAlignment="1">
      <alignment horizontal="center" vertical="center"/>
    </xf>
    <xf numFmtId="0" fontId="18" fillId="0" borderId="0" xfId="77" applyFont="1"/>
    <xf numFmtId="0" fontId="14" fillId="6" borderId="33" xfId="77" applyFont="1" applyFill="1" applyBorder="1" applyAlignment="1">
      <alignment horizontal="left" vertical="center" wrapText="1"/>
    </xf>
    <xf numFmtId="0" fontId="14" fillId="6" borderId="33" xfId="77" applyFont="1" applyFill="1" applyBorder="1" applyAlignment="1">
      <alignment horizontal="center" vertical="center" wrapText="1"/>
    </xf>
    <xf numFmtId="0" fontId="14" fillId="6" borderId="8" xfId="77" applyFont="1" applyFill="1" applyBorder="1" applyAlignment="1">
      <alignment horizontal="center" vertical="center" wrapText="1"/>
    </xf>
    <xf numFmtId="0" fontId="14" fillId="0" borderId="0" xfId="77" applyFont="1" applyAlignment="1">
      <alignment horizontal="center" vertical="center" wrapText="1"/>
    </xf>
    <xf numFmtId="0" fontId="14" fillId="26" borderId="8" xfId="77" applyFont="1" applyFill="1" applyBorder="1" applyAlignment="1">
      <alignment horizontal="left" wrapText="1"/>
    </xf>
    <xf numFmtId="0" fontId="14" fillId="26" borderId="8" xfId="77" applyFont="1" applyFill="1" applyBorder="1" applyAlignment="1">
      <alignment horizontal="center" vertical="top" wrapText="1"/>
    </xf>
    <xf numFmtId="0" fontId="13" fillId="6" borderId="8" xfId="77" applyFont="1" applyFill="1" applyBorder="1" applyAlignment="1">
      <alignment horizontal="center" vertical="center" wrapText="1"/>
    </xf>
    <xf numFmtId="0" fontId="18" fillId="26" borderId="8" xfId="77" applyFont="1" applyFill="1" applyBorder="1"/>
    <xf numFmtId="0" fontId="18" fillId="26" borderId="8" xfId="77" applyFont="1" applyFill="1" applyBorder="1" applyAlignment="1">
      <alignment horizontal="justify" wrapText="1"/>
    </xf>
    <xf numFmtId="0" fontId="18" fillId="26" borderId="2" xfId="77" applyFont="1" applyFill="1" applyBorder="1" applyAlignment="1">
      <alignment horizontal="center"/>
    </xf>
    <xf numFmtId="0" fontId="14" fillId="30" borderId="8" xfId="77" applyFont="1" applyFill="1" applyBorder="1" applyAlignment="1">
      <alignment horizontal="center" vertical="center" wrapText="1"/>
    </xf>
    <xf numFmtId="0" fontId="14" fillId="25" borderId="8" xfId="77" applyFont="1" applyFill="1" applyBorder="1" applyAlignment="1">
      <alignment horizontal="center"/>
    </xf>
    <xf numFmtId="0" fontId="14" fillId="26" borderId="8" xfId="77" applyFont="1" applyFill="1" applyBorder="1" applyAlignment="1">
      <alignment horizontal="center"/>
    </xf>
    <xf numFmtId="0" fontId="14" fillId="0" borderId="0" xfId="77" applyFont="1" applyAlignment="1">
      <alignment horizontal="center"/>
    </xf>
    <xf numFmtId="0" fontId="2" fillId="0" borderId="33" xfId="77" applyBorder="1"/>
    <xf numFmtId="0" fontId="2" fillId="0" borderId="0" xfId="77"/>
    <xf numFmtId="0" fontId="14" fillId="25" borderId="8" xfId="77" applyFont="1" applyFill="1" applyBorder="1" applyAlignment="1">
      <alignment horizontal="left" vertical="center"/>
    </xf>
    <xf numFmtId="0" fontId="14" fillId="25" borderId="8" xfId="77" applyFont="1" applyFill="1" applyBorder="1"/>
    <xf numFmtId="165" fontId="14" fillId="25" borderId="8" xfId="77" applyNumberFormat="1" applyFont="1" applyFill="1" applyBorder="1"/>
    <xf numFmtId="165" fontId="14" fillId="25" borderId="8" xfId="78" applyFont="1" applyFill="1" applyBorder="1" applyAlignment="1">
      <alignment horizontal="center"/>
    </xf>
    <xf numFmtId="165" fontId="14" fillId="25" borderId="8" xfId="78" applyFont="1" applyFill="1" applyBorder="1"/>
    <xf numFmtId="165" fontId="14" fillId="0" borderId="0" xfId="78" applyFont="1" applyFill="1" applyBorder="1"/>
    <xf numFmtId="43" fontId="14" fillId="25" borderId="8" xfId="77" applyNumberFormat="1" applyFont="1" applyFill="1" applyBorder="1"/>
    <xf numFmtId="43" fontId="18" fillId="0" borderId="0" xfId="77" applyNumberFormat="1" applyFont="1"/>
    <xf numFmtId="0" fontId="14" fillId="6" borderId="8" xfId="77" applyFont="1" applyFill="1" applyBorder="1" applyAlignment="1">
      <alignment horizontal="left" vertical="center"/>
    </xf>
    <xf numFmtId="0" fontId="14" fillId="6" borderId="8" xfId="77" applyFont="1" applyFill="1" applyBorder="1"/>
    <xf numFmtId="0" fontId="14" fillId="6" borderId="8" xfId="77" applyFont="1" applyFill="1" applyBorder="1" applyAlignment="1">
      <alignment horizontal="center" vertical="center"/>
    </xf>
    <xf numFmtId="165" fontId="14" fillId="6" borderId="8" xfId="78" applyFont="1" applyFill="1" applyBorder="1" applyAlignment="1">
      <alignment horizontal="center"/>
    </xf>
    <xf numFmtId="165" fontId="14" fillId="6" borderId="8" xfId="78" applyFont="1" applyFill="1" applyBorder="1"/>
    <xf numFmtId="0" fontId="14" fillId="23" borderId="8" xfId="77" applyFont="1" applyFill="1" applyBorder="1" applyAlignment="1">
      <alignment horizontal="left" vertical="center"/>
    </xf>
    <xf numFmtId="0" fontId="14" fillId="23" borderId="8" xfId="77" applyFont="1" applyFill="1" applyBorder="1"/>
    <xf numFmtId="165" fontId="14" fillId="23" borderId="8" xfId="78" applyFont="1" applyFill="1" applyBorder="1"/>
    <xf numFmtId="0" fontId="14" fillId="23" borderId="8" xfId="77" applyFont="1" applyFill="1" applyBorder="1" applyAlignment="1">
      <alignment horizontal="center" vertical="center"/>
    </xf>
    <xf numFmtId="0" fontId="14" fillId="23" borderId="8" xfId="77" applyFont="1" applyFill="1" applyBorder="1" applyAlignment="1">
      <alignment horizontal="center"/>
    </xf>
    <xf numFmtId="165" fontId="14" fillId="23" borderId="8" xfId="77" applyNumberFormat="1" applyFont="1" applyFill="1" applyBorder="1"/>
    <xf numFmtId="165" fontId="14" fillId="0" borderId="0" xfId="77" applyNumberFormat="1" applyFont="1"/>
    <xf numFmtId="43" fontId="14" fillId="6" borderId="8" xfId="79" applyFont="1" applyFill="1" applyBorder="1"/>
    <xf numFmtId="0" fontId="14" fillId="6" borderId="8" xfId="77" applyFont="1" applyFill="1" applyBorder="1" applyAlignment="1">
      <alignment horizontal="center"/>
    </xf>
    <xf numFmtId="165" fontId="14" fillId="6" borderId="8" xfId="77" applyNumberFormat="1" applyFont="1" applyFill="1" applyBorder="1"/>
    <xf numFmtId="0" fontId="2" fillId="0" borderId="24" xfId="77" applyBorder="1"/>
    <xf numFmtId="0" fontId="2" fillId="0" borderId="34" xfId="77" applyBorder="1"/>
    <xf numFmtId="0" fontId="14" fillId="0" borderId="8" xfId="77" applyFont="1" applyBorder="1"/>
    <xf numFmtId="0" fontId="14" fillId="0" borderId="8" xfId="77" applyFont="1" applyBorder="1" applyAlignment="1">
      <alignment horizontal="center"/>
    </xf>
    <xf numFmtId="0" fontId="14" fillId="0" borderId="8" xfId="77" applyFont="1" applyBorder="1" applyAlignment="1">
      <alignment horizontal="right"/>
    </xf>
    <xf numFmtId="0" fontId="2" fillId="0" borderId="8" xfId="77" applyBorder="1"/>
    <xf numFmtId="0" fontId="14" fillId="26" borderId="11" xfId="77" applyFont="1" applyFill="1" applyBorder="1" applyAlignment="1">
      <alignment horizontal="justify" vertical="center" wrapText="1"/>
    </xf>
    <xf numFmtId="0" fontId="14" fillId="26" borderId="76" xfId="77" applyFont="1" applyFill="1" applyBorder="1" applyAlignment="1">
      <alignment horizontal="justify" vertical="center" wrapText="1"/>
    </xf>
    <xf numFmtId="0" fontId="14" fillId="26" borderId="77" xfId="77" applyFont="1" applyFill="1" applyBorder="1" applyAlignment="1">
      <alignment horizontal="center" vertical="center" wrapText="1"/>
    </xf>
    <xf numFmtId="0" fontId="14" fillId="26" borderId="76" xfId="77" applyFont="1" applyFill="1" applyBorder="1" applyAlignment="1">
      <alignment horizontal="center" vertical="center" wrapText="1"/>
    </xf>
    <xf numFmtId="165" fontId="14" fillId="26" borderId="77" xfId="78" applyFont="1" applyFill="1" applyBorder="1" applyAlignment="1">
      <alignment vertical="center"/>
    </xf>
    <xf numFmtId="165" fontId="14" fillId="0" borderId="0" xfId="78" applyFont="1" applyFill="1" applyBorder="1" applyAlignment="1">
      <alignment vertical="center"/>
    </xf>
    <xf numFmtId="0" fontId="14" fillId="6" borderId="5" xfId="77" applyFont="1" applyFill="1" applyBorder="1" applyAlignment="1">
      <alignment horizontal="left" vertical="center" wrapText="1"/>
    </xf>
    <xf numFmtId="0" fontId="14" fillId="6" borderId="5" xfId="77" applyFont="1" applyFill="1" applyBorder="1" applyAlignment="1">
      <alignment horizontal="center" vertical="center"/>
    </xf>
    <xf numFmtId="172" fontId="14" fillId="6" borderId="32" xfId="77" applyNumberFormat="1" applyFont="1" applyFill="1" applyBorder="1" applyAlignment="1">
      <alignment horizontal="center" vertical="center" wrapText="1"/>
    </xf>
    <xf numFmtId="0" fontId="14" fillId="6" borderId="5" xfId="77" applyFont="1" applyFill="1" applyBorder="1" applyAlignment="1">
      <alignment horizontal="center" vertical="center" wrapText="1"/>
    </xf>
    <xf numFmtId="0" fontId="14" fillId="6" borderId="5" xfId="77" applyFont="1" applyFill="1" applyBorder="1" applyAlignment="1">
      <alignment vertical="center"/>
    </xf>
    <xf numFmtId="0" fontId="14" fillId="0" borderId="0" xfId="77" applyFont="1" applyAlignment="1">
      <alignment vertical="center"/>
    </xf>
    <xf numFmtId="0" fontId="14" fillId="0" borderId="5" xfId="77" applyFont="1" applyBorder="1" applyAlignment="1">
      <alignment horizontal="left" vertical="center" wrapText="1"/>
    </xf>
    <xf numFmtId="0" fontId="14" fillId="0" borderId="5" xfId="77" applyFont="1" applyBorder="1" applyAlignment="1">
      <alignment horizontal="center" vertical="center" wrapText="1"/>
    </xf>
    <xf numFmtId="0" fontId="14" fillId="0" borderId="24" xfId="77" applyFont="1" applyBorder="1" applyAlignment="1">
      <alignment horizontal="center" vertical="center" wrapText="1"/>
    </xf>
    <xf numFmtId="0" fontId="14" fillId="0" borderId="34" xfId="77" applyFont="1" applyBorder="1" applyAlignment="1">
      <alignment horizontal="center" vertical="center" wrapText="1"/>
    </xf>
    <xf numFmtId="0" fontId="14" fillId="0" borderId="5" xfId="77" applyFont="1" applyBorder="1" applyAlignment="1">
      <alignment horizontal="center" vertical="center"/>
    </xf>
    <xf numFmtId="0" fontId="14" fillId="0" borderId="5" xfId="77" applyFont="1" applyBorder="1" applyAlignment="1">
      <alignment vertical="center"/>
    </xf>
    <xf numFmtId="0" fontId="18" fillId="0" borderId="8" xfId="77" applyFont="1" applyBorder="1" applyAlignment="1">
      <alignment horizontal="left" vertical="center" wrapText="1"/>
    </xf>
    <xf numFmtId="0" fontId="18" fillId="0" borderId="33" xfId="77" applyFont="1" applyBorder="1" applyAlignment="1">
      <alignment horizontal="center" vertical="center" wrapText="1"/>
    </xf>
    <xf numFmtId="0" fontId="18" fillId="0" borderId="8" xfId="77" applyFont="1" applyBorder="1" applyAlignment="1">
      <alignment horizontal="center" vertical="center" wrapText="1"/>
    </xf>
    <xf numFmtId="0" fontId="18" fillId="0" borderId="0" xfId="77" applyFont="1" applyAlignment="1">
      <alignment horizontal="center" vertical="center"/>
    </xf>
    <xf numFmtId="2" fontId="18" fillId="0" borderId="0" xfId="77" applyNumberFormat="1" applyFont="1" applyAlignment="1">
      <alignment horizontal="center" vertical="center"/>
    </xf>
    <xf numFmtId="0" fontId="18" fillId="0" borderId="33" xfId="77" applyFont="1" applyBorder="1" applyAlignment="1">
      <alignment horizontal="left" vertical="center" wrapText="1"/>
    </xf>
    <xf numFmtId="0" fontId="18" fillId="0" borderId="0" xfId="77" applyFont="1" applyAlignment="1">
      <alignment vertical="center"/>
    </xf>
    <xf numFmtId="0" fontId="14" fillId="6" borderId="8" xfId="77" applyFont="1" applyFill="1" applyBorder="1" applyAlignment="1">
      <alignment horizontal="left" vertical="center" wrapText="1"/>
    </xf>
    <xf numFmtId="172" fontId="14" fillId="6" borderId="8" xfId="77" applyNumberFormat="1" applyFont="1" applyFill="1" applyBorder="1" applyAlignment="1">
      <alignment horizontal="center" vertical="center" wrapText="1"/>
    </xf>
    <xf numFmtId="165" fontId="14" fillId="6" borderId="8" xfId="78" applyFont="1" applyFill="1" applyBorder="1" applyAlignment="1">
      <alignment vertical="center"/>
    </xf>
    <xf numFmtId="0" fontId="18" fillId="6" borderId="8" xfId="77" applyFont="1" applyFill="1" applyBorder="1" applyAlignment="1">
      <alignment horizontal="left" vertical="center"/>
    </xf>
    <xf numFmtId="0" fontId="18" fillId="6" borderId="8" xfId="77" applyFont="1" applyFill="1" applyBorder="1"/>
    <xf numFmtId="0" fontId="14" fillId="0" borderId="0" xfId="77" applyFont="1"/>
    <xf numFmtId="0" fontId="18" fillId="0" borderId="6" xfId="77" applyFont="1" applyBorder="1" applyAlignment="1">
      <alignment horizontal="left" vertical="center" wrapText="1"/>
    </xf>
    <xf numFmtId="0" fontId="18" fillId="0" borderId="2" xfId="77" applyFont="1" applyBorder="1" applyAlignment="1">
      <alignment horizontal="center" vertical="center" wrapText="1"/>
    </xf>
    <xf numFmtId="0" fontId="18" fillId="0" borderId="8" xfId="77" applyFont="1" applyBorder="1" applyAlignment="1">
      <alignment horizontal="center" vertical="center"/>
    </xf>
    <xf numFmtId="0" fontId="18" fillId="0" borderId="8" xfId="77" applyFont="1" applyBorder="1" applyAlignment="1">
      <alignment vertical="center"/>
    </xf>
    <xf numFmtId="0" fontId="80" fillId="0" borderId="8" xfId="77" applyFont="1" applyBorder="1" applyAlignment="1">
      <alignment horizontal="center" vertical="center" wrapText="1"/>
    </xf>
    <xf numFmtId="0" fontId="18" fillId="0" borderId="9" xfId="77" applyFont="1" applyBorder="1" applyAlignment="1">
      <alignment horizontal="left" vertical="center" wrapText="1"/>
    </xf>
    <xf numFmtId="171" fontId="18" fillId="0" borderId="0" xfId="77" applyNumberFormat="1" applyFont="1" applyAlignment="1">
      <alignment horizontal="center" vertical="center"/>
    </xf>
    <xf numFmtId="0" fontId="14" fillId="6" borderId="8" xfId="77" applyFont="1" applyFill="1" applyBorder="1" applyAlignment="1">
      <alignment vertical="center"/>
    </xf>
    <xf numFmtId="0" fontId="80" fillId="0" borderId="8" xfId="77" applyFont="1" applyBorder="1" applyAlignment="1">
      <alignment horizontal="center" vertical="center"/>
    </xf>
    <xf numFmtId="171" fontId="18" fillId="0" borderId="8" xfId="77" applyNumberFormat="1" applyFont="1" applyBorder="1" applyAlignment="1">
      <alignment horizontal="center" vertical="center"/>
    </xf>
    <xf numFmtId="0" fontId="14" fillId="26" borderId="78" xfId="77" applyFont="1" applyFill="1" applyBorder="1" applyAlignment="1">
      <alignment horizontal="left" vertical="center" wrapText="1"/>
    </xf>
    <xf numFmtId="0" fontId="14" fillId="26" borderId="79" xfId="77" applyFont="1" applyFill="1" applyBorder="1" applyAlignment="1">
      <alignment horizontal="left" vertical="center" wrapText="1"/>
    </xf>
    <xf numFmtId="165" fontId="14" fillId="6" borderId="5" xfId="78" applyFont="1" applyFill="1" applyBorder="1" applyAlignment="1">
      <alignment vertical="center"/>
    </xf>
    <xf numFmtId="172" fontId="14" fillId="6" borderId="8" xfId="77" applyNumberFormat="1" applyFont="1" applyFill="1" applyBorder="1" applyAlignment="1">
      <alignment horizontal="center" vertical="center"/>
    </xf>
    <xf numFmtId="0" fontId="14" fillId="23" borderId="78" xfId="77" applyFont="1" applyFill="1" applyBorder="1" applyAlignment="1">
      <alignment horizontal="left" vertical="center" wrapText="1"/>
    </xf>
    <xf numFmtId="0" fontId="14" fillId="23" borderId="79" xfId="77" applyFont="1" applyFill="1" applyBorder="1" applyAlignment="1">
      <alignment horizontal="left" vertical="center" wrapText="1"/>
    </xf>
    <xf numFmtId="0" fontId="14" fillId="23" borderId="77" xfId="77" applyFont="1" applyFill="1" applyBorder="1" applyAlignment="1">
      <alignment horizontal="center" vertical="center" wrapText="1"/>
    </xf>
    <xf numFmtId="0" fontId="14" fillId="23" borderId="76" xfId="77" applyFont="1" applyFill="1" applyBorder="1" applyAlignment="1">
      <alignment horizontal="center" vertical="center" wrapText="1"/>
    </xf>
    <xf numFmtId="165" fontId="14" fillId="23" borderId="77" xfId="78" applyFont="1" applyFill="1" applyBorder="1" applyAlignment="1">
      <alignment vertical="center"/>
    </xf>
    <xf numFmtId="165" fontId="18" fillId="0" borderId="8" xfId="80" applyFont="1" applyBorder="1" applyAlignment="1">
      <alignment horizontal="center" vertical="center"/>
    </xf>
    <xf numFmtId="10" fontId="18" fillId="0" borderId="8" xfId="77" applyNumberFormat="1" applyFont="1" applyBorder="1" applyAlignment="1">
      <alignment horizontal="center" vertical="center"/>
    </xf>
    <xf numFmtId="0" fontId="79" fillId="0" borderId="0" xfId="81"/>
    <xf numFmtId="0" fontId="81" fillId="0" borderId="0" xfId="77" applyFont="1"/>
    <xf numFmtId="0" fontId="18" fillId="0" borderId="0" xfId="77" applyFont="1" applyAlignment="1">
      <alignment horizontal="left" vertical="center"/>
    </xf>
    <xf numFmtId="0" fontId="18" fillId="0" borderId="0" xfId="77" applyFont="1" applyAlignment="1">
      <alignment horizontal="center"/>
    </xf>
    <xf numFmtId="0" fontId="14" fillId="26" borderId="3" xfId="77" applyFont="1" applyFill="1" applyBorder="1"/>
    <xf numFmtId="0" fontId="14" fillId="26" borderId="4" xfId="77" applyFont="1" applyFill="1" applyBorder="1" applyAlignment="1">
      <alignment horizontal="center"/>
    </xf>
    <xf numFmtId="0" fontId="18" fillId="6" borderId="3" xfId="77" applyFont="1" applyFill="1" applyBorder="1"/>
    <xf numFmtId="0" fontId="18" fillId="6" borderId="80" xfId="77" applyFont="1" applyFill="1" applyBorder="1"/>
    <xf numFmtId="0" fontId="18" fillId="6" borderId="4" xfId="77" applyFont="1" applyFill="1" applyBorder="1"/>
    <xf numFmtId="0" fontId="14" fillId="0" borderId="81" xfId="77" applyFont="1" applyBorder="1"/>
    <xf numFmtId="0" fontId="2" fillId="0" borderId="82" xfId="77" applyBorder="1"/>
    <xf numFmtId="0" fontId="18" fillId="0" borderId="6" xfId="77" applyFont="1" applyBorder="1"/>
    <xf numFmtId="0" fontId="18" fillId="0" borderId="8" xfId="77" applyFont="1" applyBorder="1"/>
    <xf numFmtId="0" fontId="18" fillId="0" borderId="7" xfId="77" applyFont="1" applyBorder="1"/>
    <xf numFmtId="0" fontId="18" fillId="0" borderId="6" xfId="77" applyFont="1" applyBorder="1" applyAlignment="1">
      <alignment horizontal="right"/>
    </xf>
    <xf numFmtId="178" fontId="82" fillId="32" borderId="7" xfId="79" applyNumberFormat="1" applyFont="1" applyFill="1" applyBorder="1"/>
    <xf numFmtId="165" fontId="83" fillId="32" borderId="7" xfId="78" applyFont="1" applyFill="1" applyBorder="1"/>
    <xf numFmtId="178" fontId="83" fillId="32" borderId="7" xfId="79" applyNumberFormat="1" applyFont="1" applyFill="1" applyBorder="1"/>
    <xf numFmtId="0" fontId="18" fillId="0" borderId="6" xfId="77" applyFont="1" applyBorder="1" applyAlignment="1">
      <alignment horizontal="right" wrapText="1"/>
    </xf>
    <xf numFmtId="0" fontId="18" fillId="32" borderId="6" xfId="77" applyFont="1" applyFill="1" applyBorder="1"/>
    <xf numFmtId="0" fontId="18" fillId="32" borderId="8" xfId="77" applyFont="1" applyFill="1" applyBorder="1"/>
    <xf numFmtId="0" fontId="18" fillId="32" borderId="0" xfId="77" applyFont="1" applyFill="1"/>
    <xf numFmtId="0" fontId="18" fillId="0" borderId="72" xfId="77" applyFont="1" applyBorder="1" applyAlignment="1">
      <alignment horizontal="right"/>
    </xf>
    <xf numFmtId="178" fontId="18" fillId="0" borderId="74" xfId="79" applyNumberFormat="1" applyFont="1" applyBorder="1"/>
    <xf numFmtId="0" fontId="18" fillId="0" borderId="72" xfId="77" applyFont="1" applyBorder="1"/>
    <xf numFmtId="0" fontId="18" fillId="0" borderId="73" xfId="77" applyFont="1" applyBorder="1"/>
    <xf numFmtId="0" fontId="18" fillId="0" borderId="74" xfId="77" applyFont="1" applyBorder="1"/>
    <xf numFmtId="0" fontId="84" fillId="26" borderId="8" xfId="77" applyFont="1" applyFill="1" applyBorder="1" applyAlignment="1">
      <alignment horizontal="justify" vertical="center" wrapText="1"/>
    </xf>
    <xf numFmtId="0" fontId="14" fillId="26" borderId="8" xfId="77" applyFont="1" applyFill="1" applyBorder="1" applyAlignment="1">
      <alignment horizontal="center" vertical="center" wrapText="1"/>
    </xf>
    <xf numFmtId="0" fontId="14" fillId="33" borderId="8" xfId="77" applyFont="1" applyFill="1" applyBorder="1" applyAlignment="1">
      <alignment horizontal="center" vertical="center" wrapText="1"/>
    </xf>
    <xf numFmtId="0" fontId="85" fillId="6" borderId="8" xfId="77" applyFont="1" applyFill="1" applyBorder="1" applyAlignment="1">
      <alignment horizontal="justify" vertical="center" wrapText="1"/>
    </xf>
    <xf numFmtId="43" fontId="83" fillId="6" borderId="8" xfId="79" applyFont="1" applyFill="1" applyBorder="1" applyAlignment="1">
      <alignment vertical="center"/>
    </xf>
    <xf numFmtId="165" fontId="86" fillId="6" borderId="8" xfId="78" applyFont="1" applyFill="1" applyBorder="1" applyAlignment="1">
      <alignment vertical="center"/>
    </xf>
    <xf numFmtId="165" fontId="83" fillId="6" borderId="8" xfId="78" applyFont="1" applyFill="1" applyBorder="1" applyAlignment="1">
      <alignment vertical="center"/>
    </xf>
    <xf numFmtId="0" fontId="83" fillId="6" borderId="8" xfId="77" applyFont="1" applyFill="1" applyBorder="1" applyAlignment="1">
      <alignment vertical="center"/>
    </xf>
    <xf numFmtId="0" fontId="85" fillId="6" borderId="8" xfId="77" applyFont="1" applyFill="1" applyBorder="1" applyAlignment="1">
      <alignment horizontal="right" vertical="center" wrapText="1"/>
    </xf>
    <xf numFmtId="0" fontId="84" fillId="6" borderId="8" xfId="77" applyFont="1" applyFill="1" applyBorder="1" applyAlignment="1">
      <alignment horizontal="justify" vertical="center" wrapText="1"/>
    </xf>
    <xf numFmtId="43" fontId="14" fillId="6" borderId="8" xfId="79" applyFont="1" applyFill="1" applyBorder="1" applyAlignment="1">
      <alignment vertical="center"/>
    </xf>
    <xf numFmtId="165" fontId="18" fillId="6" borderId="8" xfId="78" applyFont="1" applyFill="1" applyBorder="1" applyAlignment="1">
      <alignment vertical="center"/>
    </xf>
    <xf numFmtId="165" fontId="14" fillId="6" borderId="2" xfId="78" applyFont="1" applyFill="1" applyBorder="1" applyAlignment="1">
      <alignment vertical="center"/>
    </xf>
    <xf numFmtId="0" fontId="14" fillId="6" borderId="2" xfId="77" applyFont="1" applyFill="1" applyBorder="1" applyAlignment="1">
      <alignment vertical="center"/>
    </xf>
    <xf numFmtId="0" fontId="14" fillId="6" borderId="8" xfId="77" applyFont="1" applyFill="1" applyBorder="1" applyAlignment="1">
      <alignment horizontal="right"/>
    </xf>
    <xf numFmtId="9" fontId="14" fillId="6" borderId="2" xfId="77" applyNumberFormat="1" applyFont="1" applyFill="1" applyBorder="1"/>
    <xf numFmtId="0" fontId="14" fillId="6" borderId="8" xfId="77" applyFont="1" applyFill="1" applyBorder="1" applyAlignment="1">
      <alignment horizontal="right" wrapText="1"/>
    </xf>
    <xf numFmtId="165" fontId="18" fillId="6" borderId="8" xfId="78" applyFont="1" applyFill="1" applyBorder="1"/>
    <xf numFmtId="9" fontId="14" fillId="6" borderId="8" xfId="77" applyNumberFormat="1" applyFont="1" applyFill="1" applyBorder="1"/>
    <xf numFmtId="0" fontId="18" fillId="6" borderId="8" xfId="77" applyFont="1" applyFill="1" applyBorder="1" applyAlignment="1">
      <alignment horizontal="right" vertical="center" wrapText="1"/>
    </xf>
    <xf numFmtId="9" fontId="18" fillId="6" borderId="8" xfId="77" applyNumberFormat="1" applyFont="1" applyFill="1" applyBorder="1"/>
    <xf numFmtId="165" fontId="18" fillId="6" borderId="8" xfId="77" applyNumberFormat="1" applyFont="1" applyFill="1" applyBorder="1"/>
    <xf numFmtId="178" fontId="18" fillId="6" borderId="8" xfId="79" applyNumberFormat="1" applyFont="1" applyFill="1" applyBorder="1"/>
    <xf numFmtId="43" fontId="18" fillId="6" borderId="8" xfId="79" applyFont="1" applyFill="1" applyBorder="1"/>
    <xf numFmtId="9" fontId="18" fillId="6" borderId="2" xfId="77" applyNumberFormat="1" applyFont="1" applyFill="1" applyBorder="1"/>
    <xf numFmtId="0" fontId="18" fillId="6" borderId="8" xfId="77" applyFont="1" applyFill="1" applyBorder="1" applyAlignment="1">
      <alignment vertical="center" wrapText="1"/>
    </xf>
    <xf numFmtId="178" fontId="18" fillId="6" borderId="8" xfId="79" applyNumberFormat="1" applyFont="1" applyFill="1" applyBorder="1" applyAlignment="1">
      <alignment vertical="center"/>
    </xf>
    <xf numFmtId="0" fontId="18" fillId="6" borderId="8" xfId="77" applyFont="1" applyFill="1" applyBorder="1" applyAlignment="1">
      <alignment vertical="center"/>
    </xf>
    <xf numFmtId="165" fontId="18" fillId="6" borderId="8" xfId="77" applyNumberFormat="1" applyFont="1" applyFill="1" applyBorder="1" applyAlignment="1">
      <alignment vertical="center"/>
    </xf>
    <xf numFmtId="165" fontId="83" fillId="26" borderId="8" xfId="78" applyFont="1" applyFill="1" applyBorder="1" applyAlignment="1">
      <alignment vertical="center"/>
    </xf>
    <xf numFmtId="165" fontId="14" fillId="26" borderId="8" xfId="77" applyNumberFormat="1" applyFont="1" applyFill="1" applyBorder="1"/>
    <xf numFmtId="0" fontId="14" fillId="26" borderId="8" xfId="77" applyFont="1" applyFill="1" applyBorder="1" applyAlignment="1">
      <alignment vertical="center"/>
    </xf>
    <xf numFmtId="0" fontId="83" fillId="26" borderId="8" xfId="77" applyFont="1" applyFill="1" applyBorder="1" applyAlignment="1">
      <alignment vertical="center"/>
    </xf>
    <xf numFmtId="178" fontId="83" fillId="34" borderId="8" xfId="77" applyNumberFormat="1" applyFont="1" applyFill="1" applyBorder="1" applyAlignment="1">
      <alignment horizontal="center" vertical="center"/>
    </xf>
    <xf numFmtId="0" fontId="18" fillId="26" borderId="8" xfId="77" applyFont="1" applyFill="1" applyBorder="1" applyAlignment="1">
      <alignment vertical="center"/>
    </xf>
    <xf numFmtId="165" fontId="14" fillId="26" borderId="8" xfId="78" applyFont="1" applyFill="1" applyBorder="1" applyAlignment="1">
      <alignment vertical="center"/>
    </xf>
    <xf numFmtId="165" fontId="14" fillId="26" borderId="8" xfId="77" applyNumberFormat="1" applyFont="1" applyFill="1" applyBorder="1" applyAlignment="1">
      <alignment vertical="center"/>
    </xf>
    <xf numFmtId="0" fontId="87" fillId="0" borderId="0" xfId="77" applyFont="1"/>
    <xf numFmtId="0" fontId="88" fillId="0" borderId="0" xfId="81" applyFont="1" applyAlignment="1">
      <alignment horizontal="center"/>
    </xf>
    <xf numFmtId="0" fontId="89" fillId="0" borderId="0" xfId="81" applyFont="1" applyAlignment="1">
      <alignment horizontal="right"/>
    </xf>
    <xf numFmtId="0" fontId="90" fillId="0" borderId="0" xfId="81" applyFont="1" applyAlignment="1">
      <alignment horizontal="right"/>
    </xf>
    <xf numFmtId="178" fontId="90" fillId="0" borderId="0" xfId="1" applyNumberFormat="1" applyFont="1"/>
    <xf numFmtId="0" fontId="88" fillId="0" borderId="0" xfId="81" applyFont="1" applyAlignment="1">
      <alignment horizontal="right"/>
    </xf>
    <xf numFmtId="0" fontId="91" fillId="0" borderId="0" xfId="77" applyFont="1"/>
    <xf numFmtId="0" fontId="79" fillId="0" borderId="0" xfId="81" applyAlignment="1">
      <alignment horizontal="right" vertical="center"/>
    </xf>
    <xf numFmtId="165" fontId="79" fillId="0" borderId="0" xfId="80" applyFont="1"/>
    <xf numFmtId="0" fontId="92" fillId="0" borderId="0" xfId="81" applyFont="1"/>
    <xf numFmtId="44" fontId="2" fillId="2" borderId="0" xfId="4" applyNumberFormat="1" applyFill="1" applyProtection="1">
      <protection locked="0"/>
    </xf>
    <xf numFmtId="165" fontId="5" fillId="3" borderId="0" xfId="2" applyFont="1" applyFill="1" applyAlignment="1" applyProtection="1">
      <alignment horizontal="center" vertical="center"/>
      <protection locked="0"/>
    </xf>
    <xf numFmtId="173" fontId="0" fillId="0" borderId="0" xfId="0" applyNumberFormat="1"/>
    <xf numFmtId="0" fontId="0" fillId="0" borderId="0" xfId="0" applyAlignment="1">
      <alignment horizontal="right"/>
    </xf>
    <xf numFmtId="0" fontId="13" fillId="3" borderId="0" xfId="4" applyFont="1" applyFill="1" applyAlignment="1">
      <alignment horizontal="left"/>
    </xf>
    <xf numFmtId="173" fontId="13" fillId="3" borderId="0" xfId="9" applyNumberFormat="1" applyFont="1" applyFill="1" applyBorder="1" applyAlignment="1">
      <alignment horizontal="center"/>
    </xf>
    <xf numFmtId="0" fontId="2" fillId="3" borderId="10" xfId="4" applyFill="1" applyBorder="1" applyAlignment="1">
      <alignment horizontal="left"/>
    </xf>
    <xf numFmtId="173" fontId="2" fillId="3" borderId="29" xfId="9" applyNumberFormat="1" applyFont="1" applyFill="1" applyBorder="1" applyAlignment="1">
      <alignment horizontal="center"/>
    </xf>
    <xf numFmtId="171" fontId="82" fillId="32" borderId="82" xfId="3" applyNumberFormat="1" applyFont="1" applyFill="1" applyBorder="1"/>
    <xf numFmtId="0" fontId="94" fillId="0" borderId="0" xfId="82" applyFont="1"/>
    <xf numFmtId="0" fontId="71" fillId="0" borderId="0" xfId="82" applyFont="1"/>
    <xf numFmtId="0" fontId="93" fillId="35" borderId="0" xfId="82" applyFont="1" applyFill="1"/>
    <xf numFmtId="1" fontId="93" fillId="35" borderId="0" xfId="6" quotePrefix="1" applyNumberFormat="1" applyFont="1" applyFill="1" applyBorder="1" applyAlignment="1">
      <alignment horizontal="center"/>
    </xf>
    <xf numFmtId="0" fontId="71" fillId="0" borderId="0" xfId="83" applyFont="1" applyAlignment="1">
      <alignment vertical="center"/>
    </xf>
    <xf numFmtId="10" fontId="71" fillId="36" borderId="0" xfId="6" applyNumberFormat="1" applyFont="1" applyFill="1" applyBorder="1"/>
    <xf numFmtId="0" fontId="95" fillId="0" borderId="0" xfId="83" applyFont="1" applyAlignment="1">
      <alignment vertical="center"/>
    </xf>
    <xf numFmtId="0" fontId="95" fillId="0" borderId="0" xfId="82" applyFont="1"/>
    <xf numFmtId="190" fontId="71" fillId="36" borderId="0" xfId="6" applyNumberFormat="1" applyFont="1" applyFill="1" applyBorder="1"/>
    <xf numFmtId="10" fontId="94" fillId="0" borderId="0" xfId="6" applyNumberFormat="1" applyFont="1" applyFill="1" applyBorder="1"/>
    <xf numFmtId="171" fontId="71" fillId="0" borderId="0" xfId="82" applyNumberFormat="1" applyFont="1"/>
    <xf numFmtId="10" fontId="71" fillId="0" borderId="0" xfId="82" applyNumberFormat="1" applyFont="1"/>
    <xf numFmtId="0" fontId="94" fillId="0" borderId="0" xfId="83" applyFont="1" applyAlignment="1">
      <alignment vertical="center"/>
    </xf>
    <xf numFmtId="10" fontId="71" fillId="0" borderId="0" xfId="6" applyNumberFormat="1" applyFont="1" applyFill="1" applyBorder="1"/>
    <xf numFmtId="10" fontId="94" fillId="0" borderId="0" xfId="6" applyNumberFormat="1" applyFont="1" applyBorder="1"/>
    <xf numFmtId="171" fontId="94" fillId="0" borderId="0" xfId="6" applyNumberFormat="1" applyFont="1" applyBorder="1"/>
    <xf numFmtId="0" fontId="94" fillId="35" borderId="0" xfId="82" applyFont="1" applyFill="1"/>
    <xf numFmtId="10" fontId="93" fillId="35" borderId="0" xfId="6" applyNumberFormat="1" applyFont="1" applyFill="1" applyBorder="1"/>
    <xf numFmtId="0" fontId="71" fillId="35" borderId="0" xfId="82" applyFont="1" applyFill="1"/>
    <xf numFmtId="0" fontId="94" fillId="0" borderId="81" xfId="82" applyFont="1" applyBorder="1"/>
    <xf numFmtId="0" fontId="71" fillId="0" borderId="81" xfId="82" applyFont="1" applyBorder="1"/>
    <xf numFmtId="171" fontId="71" fillId="0" borderId="0" xfId="6" applyNumberFormat="1" applyFont="1" applyFill="1" applyBorder="1"/>
    <xf numFmtId="171" fontId="94" fillId="0" borderId="0" xfId="82" applyNumberFormat="1" applyFont="1"/>
    <xf numFmtId="0" fontId="6" fillId="2" borderId="10" xfId="4" applyFont="1" applyFill="1" applyBorder="1" applyAlignment="1" applyProtection="1">
      <alignment horizontal="center" vertical="center"/>
      <protection locked="0"/>
    </xf>
    <xf numFmtId="0" fontId="6" fillId="2" borderId="33" xfId="4" applyFont="1" applyFill="1" applyBorder="1" applyAlignment="1" applyProtection="1">
      <alignment horizontal="center" vertical="center"/>
      <protection locked="0"/>
    </xf>
    <xf numFmtId="0" fontId="5" fillId="2" borderId="30" xfId="4" applyFont="1" applyFill="1" applyBorder="1" applyAlignment="1" applyProtection="1">
      <alignment horizontal="center" vertical="center"/>
      <protection locked="0"/>
    </xf>
    <xf numFmtId="186" fontId="5" fillId="5" borderId="5" xfId="4" applyNumberFormat="1" applyFont="1" applyFill="1" applyBorder="1" applyAlignment="1" applyProtection="1">
      <alignment horizontal="center" vertical="center"/>
      <protection locked="0"/>
    </xf>
    <xf numFmtId="187" fontId="5" fillId="5" borderId="5" xfId="4" applyNumberFormat="1" applyFont="1" applyFill="1" applyBorder="1" applyAlignment="1" applyProtection="1">
      <alignment horizontal="center" vertical="center"/>
      <protection locked="0"/>
    </xf>
    <xf numFmtId="3" fontId="5" fillId="5" borderId="80" xfId="4" applyNumberFormat="1" applyFont="1" applyFill="1" applyBorder="1" applyAlignment="1" applyProtection="1">
      <alignment horizontal="center" vertical="center"/>
      <protection locked="0"/>
    </xf>
    <xf numFmtId="3" fontId="5" fillId="5" borderId="4" xfId="4" applyNumberFormat="1" applyFont="1" applyFill="1" applyBorder="1" applyAlignment="1" applyProtection="1">
      <alignment horizontal="center" vertical="center"/>
      <protection locked="0"/>
    </xf>
    <xf numFmtId="0" fontId="5" fillId="2" borderId="84" xfId="4" applyFont="1" applyFill="1" applyBorder="1" applyAlignment="1" applyProtection="1">
      <alignment horizontal="center" vertical="center"/>
      <protection locked="0"/>
    </xf>
    <xf numFmtId="3" fontId="5" fillId="5" borderId="73" xfId="4" applyNumberFormat="1" applyFont="1" applyFill="1" applyBorder="1" applyAlignment="1" applyProtection="1">
      <alignment horizontal="center" vertical="center"/>
      <protection locked="0"/>
    </xf>
    <xf numFmtId="3" fontId="5" fillId="5" borderId="74" xfId="4" applyNumberFormat="1" applyFont="1" applyFill="1" applyBorder="1" applyAlignment="1" applyProtection="1">
      <alignment horizontal="center" vertical="center"/>
      <protection locked="0"/>
    </xf>
    <xf numFmtId="189" fontId="72" fillId="0" borderId="0" xfId="0" applyNumberFormat="1" applyFont="1"/>
    <xf numFmtId="178" fontId="35" fillId="3" borderId="0" xfId="1" applyNumberFormat="1" applyFont="1" applyFill="1"/>
    <xf numFmtId="0" fontId="13" fillId="33" borderId="0" xfId="4" applyFont="1" applyFill="1" applyAlignment="1" applyProtection="1">
      <alignment horizontal="center" vertical="center" wrapText="1"/>
      <protection locked="0"/>
    </xf>
    <xf numFmtId="167" fontId="5" fillId="2" borderId="85" xfId="2" applyNumberFormat="1" applyFont="1" applyFill="1" applyBorder="1" applyAlignment="1" applyProtection="1">
      <alignment horizontal="center" vertical="center"/>
      <protection locked="0"/>
    </xf>
    <xf numFmtId="10" fontId="5" fillId="2" borderId="86" xfId="3" applyNumberFormat="1" applyFont="1" applyFill="1" applyBorder="1" applyAlignment="1" applyProtection="1">
      <alignment horizontal="center" vertical="center"/>
      <protection locked="0"/>
    </xf>
    <xf numFmtId="167" fontId="5" fillId="2" borderId="86" xfId="2" applyNumberFormat="1" applyFont="1" applyFill="1" applyBorder="1" applyAlignment="1" applyProtection="1">
      <alignment horizontal="center" vertical="center"/>
      <protection locked="0"/>
    </xf>
    <xf numFmtId="2" fontId="5" fillId="2" borderId="86" xfId="4" applyNumberFormat="1" applyFont="1" applyFill="1" applyBorder="1" applyAlignment="1" applyProtection="1">
      <alignment horizontal="center" vertical="center"/>
      <protection locked="0"/>
    </xf>
    <xf numFmtId="1" fontId="5" fillId="2" borderId="86" xfId="4" applyNumberFormat="1" applyFont="1" applyFill="1" applyBorder="1" applyAlignment="1" applyProtection="1">
      <alignment horizontal="center" vertical="center"/>
      <protection locked="0"/>
    </xf>
    <xf numFmtId="1" fontId="5" fillId="2" borderId="87" xfId="4" applyNumberFormat="1" applyFont="1" applyFill="1" applyBorder="1" applyAlignment="1" applyProtection="1">
      <alignment horizontal="center" vertical="center"/>
      <protection locked="0"/>
    </xf>
    <xf numFmtId="0" fontId="13" fillId="37" borderId="0" xfId="4" applyFont="1" applyFill="1" applyAlignment="1" applyProtection="1">
      <alignment horizontal="center" vertical="center" wrapText="1"/>
      <protection locked="0"/>
    </xf>
    <xf numFmtId="3" fontId="2" fillId="3" borderId="8" xfId="7" applyNumberFormat="1" applyFill="1" applyBorder="1" applyAlignment="1">
      <alignment horizontal="center"/>
    </xf>
    <xf numFmtId="0" fontId="2" fillId="3" borderId="0" xfId="7" applyFill="1" applyAlignment="1">
      <alignment horizontal="center"/>
    </xf>
    <xf numFmtId="10" fontId="2" fillId="3" borderId="1" xfId="7" applyNumberFormat="1" applyFill="1" applyBorder="1" applyAlignment="1">
      <alignment horizontal="center"/>
    </xf>
    <xf numFmtId="0" fontId="2" fillId="3" borderId="25" xfId="7" applyFill="1" applyBorder="1" applyAlignment="1">
      <alignment horizontal="center"/>
    </xf>
    <xf numFmtId="0" fontId="2" fillId="3" borderId="2" xfId="7" applyFill="1" applyBorder="1" applyAlignment="1">
      <alignment horizontal="center"/>
    </xf>
    <xf numFmtId="0" fontId="2" fillId="3" borderId="0" xfId="7" applyFill="1" applyAlignment="1">
      <alignment horizontal="right"/>
    </xf>
    <xf numFmtId="0" fontId="2" fillId="3" borderId="24" xfId="7" applyFill="1" applyBorder="1" applyAlignment="1">
      <alignment horizontal="right"/>
    </xf>
    <xf numFmtId="0" fontId="15" fillId="7" borderId="16" xfId="7" applyFont="1" applyFill="1" applyBorder="1" applyAlignment="1">
      <alignment horizontal="center" vertical="center"/>
    </xf>
    <xf numFmtId="0" fontId="15" fillId="7" borderId="17" xfId="7" applyFont="1" applyFill="1" applyBorder="1" applyAlignment="1">
      <alignment horizontal="center" vertical="center"/>
    </xf>
    <xf numFmtId="0" fontId="15" fillId="7" borderId="18" xfId="7" applyFont="1" applyFill="1" applyBorder="1" applyAlignment="1">
      <alignment horizontal="center" vertical="center"/>
    </xf>
    <xf numFmtId="0" fontId="33" fillId="3" borderId="26" xfId="7" applyFont="1" applyFill="1" applyBorder="1" applyAlignment="1">
      <alignment vertical="top"/>
    </xf>
    <xf numFmtId="0" fontId="33" fillId="3" borderId="27" xfId="7" applyFont="1" applyFill="1" applyBorder="1" applyAlignment="1">
      <alignment vertical="top"/>
    </xf>
    <xf numFmtId="0" fontId="33" fillId="3" borderId="28" xfId="7" applyFont="1" applyFill="1" applyBorder="1" applyAlignment="1">
      <alignment vertical="top"/>
    </xf>
    <xf numFmtId="0" fontId="2" fillId="3" borderId="22" xfId="7" applyFill="1" applyBorder="1" applyAlignment="1">
      <alignment horizontal="center"/>
    </xf>
    <xf numFmtId="0" fontId="2" fillId="3" borderId="24" xfId="7" applyFill="1" applyBorder="1" applyAlignment="1">
      <alignment horizontal="center"/>
    </xf>
    <xf numFmtId="0" fontId="34" fillId="3" borderId="1" xfId="7" applyFont="1" applyFill="1" applyBorder="1" applyAlignment="1">
      <alignment horizontal="center"/>
    </xf>
    <xf numFmtId="0" fontId="34" fillId="3" borderId="25" xfId="7" applyFont="1" applyFill="1" applyBorder="1" applyAlignment="1">
      <alignment horizontal="center"/>
    </xf>
    <xf numFmtId="0" fontId="34" fillId="3" borderId="2" xfId="7" applyFont="1" applyFill="1" applyBorder="1" applyAlignment="1">
      <alignment horizontal="center"/>
    </xf>
    <xf numFmtId="0" fontId="2" fillId="3" borderId="22" xfId="7" applyFill="1" applyBorder="1" applyAlignment="1">
      <alignment vertical="top" wrapText="1"/>
    </xf>
    <xf numFmtId="0" fontId="2" fillId="3" borderId="0" xfId="7" applyFill="1" applyAlignment="1">
      <alignment vertical="top" wrapText="1"/>
    </xf>
    <xf numFmtId="0" fontId="2" fillId="3" borderId="23" xfId="7" applyFill="1" applyBorder="1" applyAlignment="1">
      <alignment vertical="top" wrapText="1"/>
    </xf>
    <xf numFmtId="0" fontId="2" fillId="3" borderId="26" xfId="7" applyFill="1" applyBorder="1" applyAlignment="1">
      <alignment vertical="top" wrapText="1"/>
    </xf>
    <xf numFmtId="0" fontId="2" fillId="3" borderId="27" xfId="7" applyFill="1" applyBorder="1" applyAlignment="1">
      <alignment vertical="top" wrapText="1"/>
    </xf>
    <xf numFmtId="0" fontId="2" fillId="3" borderId="28" xfId="7" applyFill="1" applyBorder="1" applyAlignment="1">
      <alignment vertical="top" wrapText="1"/>
    </xf>
    <xf numFmtId="0" fontId="13" fillId="3" borderId="0" xfId="7" applyFont="1" applyFill="1" applyAlignment="1">
      <alignment horizontal="center"/>
    </xf>
    <xf numFmtId="0" fontId="2" fillId="3" borderId="22" xfId="7" applyFill="1" applyBorder="1" applyAlignment="1">
      <alignment horizontal="right"/>
    </xf>
    <xf numFmtId="14" fontId="2" fillId="3" borderId="1" xfId="7" applyNumberFormat="1" applyFill="1" applyBorder="1" applyAlignment="1">
      <alignment horizontal="center"/>
    </xf>
    <xf numFmtId="0" fontId="2" fillId="3" borderId="0" xfId="7" applyFill="1" applyAlignment="1">
      <alignment vertical="center" wrapText="1"/>
    </xf>
    <xf numFmtId="14" fontId="2" fillId="3" borderId="22" xfId="7" applyNumberFormat="1" applyFill="1" applyBorder="1" applyAlignment="1">
      <alignment horizontal="right"/>
    </xf>
    <xf numFmtId="14" fontId="2" fillId="3" borderId="0" xfId="7" applyNumberFormat="1" applyFill="1" applyAlignment="1">
      <alignment horizontal="right"/>
    </xf>
    <xf numFmtId="14" fontId="2" fillId="3" borderId="24" xfId="7" applyNumberFormat="1" applyFill="1" applyBorder="1" applyAlignment="1">
      <alignment horizontal="right"/>
    </xf>
    <xf numFmtId="0" fontId="2" fillId="3" borderId="0" xfId="7" applyFill="1" applyAlignment="1">
      <alignment horizontal="left" vertical="center" wrapText="1"/>
    </xf>
    <xf numFmtId="0" fontId="2" fillId="3" borderId="22" xfId="7" applyFill="1" applyBorder="1" applyAlignment="1">
      <alignment horizontal="right" wrapText="1"/>
    </xf>
    <xf numFmtId="0" fontId="2" fillId="3" borderId="0" xfId="7" applyFill="1" applyAlignment="1">
      <alignment horizontal="right" wrapText="1"/>
    </xf>
    <xf numFmtId="3" fontId="13" fillId="3" borderId="10" xfId="7" applyNumberFormat="1" applyFont="1" applyFill="1" applyBorder="1" applyAlignment="1">
      <alignment horizontal="center" vertical="center"/>
    </xf>
    <xf numFmtId="3" fontId="13" fillId="3" borderId="29" xfId="7" applyNumberFormat="1" applyFont="1" applyFill="1" applyBorder="1" applyAlignment="1">
      <alignment horizontal="center" vertical="center"/>
    </xf>
    <xf numFmtId="3" fontId="13" fillId="3" borderId="15" xfId="7" applyNumberFormat="1" applyFont="1" applyFill="1" applyBorder="1" applyAlignment="1">
      <alignment horizontal="center" vertical="center"/>
    </xf>
    <xf numFmtId="3" fontId="13" fillId="3" borderId="30" xfId="7" applyNumberFormat="1" applyFont="1" applyFill="1" applyBorder="1" applyAlignment="1">
      <alignment horizontal="center" vertical="center"/>
    </xf>
    <xf numFmtId="3" fontId="13" fillId="3" borderId="31" xfId="7" applyNumberFormat="1" applyFont="1" applyFill="1" applyBorder="1" applyAlignment="1">
      <alignment horizontal="center" vertical="center"/>
    </xf>
    <xf numFmtId="3" fontId="13" fillId="3" borderId="32" xfId="7" applyNumberFormat="1" applyFont="1" applyFill="1" applyBorder="1" applyAlignment="1">
      <alignment horizontal="center" vertical="center"/>
    </xf>
    <xf numFmtId="0" fontId="2" fillId="3" borderId="22" xfId="7" applyFill="1" applyBorder="1" applyAlignment="1">
      <alignment horizontal="right" vertical="center"/>
    </xf>
    <xf numFmtId="0" fontId="2" fillId="3" borderId="0" xfId="7" applyFill="1" applyAlignment="1">
      <alignment horizontal="right" vertical="center"/>
    </xf>
    <xf numFmtId="3" fontId="2" fillId="3" borderId="8" xfId="7" applyNumberFormat="1" applyFill="1" applyBorder="1" applyAlignment="1">
      <alignment horizontal="center" vertical="center"/>
    </xf>
    <xf numFmtId="3" fontId="2" fillId="3" borderId="1" xfId="7" applyNumberFormat="1" applyFill="1" applyBorder="1" applyAlignment="1">
      <alignment horizontal="center"/>
    </xf>
    <xf numFmtId="3" fontId="2" fillId="3" borderId="25" xfId="7" applyNumberFormat="1" applyFill="1" applyBorder="1" applyAlignment="1">
      <alignment horizontal="center"/>
    </xf>
    <xf numFmtId="3" fontId="2" fillId="3" borderId="2" xfId="7" applyNumberFormat="1" applyFill="1" applyBorder="1" applyAlignment="1">
      <alignment horizontal="center"/>
    </xf>
    <xf numFmtId="3" fontId="2" fillId="3" borderId="0" xfId="7" applyNumberFormat="1" applyFill="1" applyAlignment="1">
      <alignment horizontal="center"/>
    </xf>
    <xf numFmtId="171" fontId="2" fillId="3" borderId="22" xfId="6" applyNumberFormat="1" applyFont="1" applyFill="1" applyBorder="1" applyAlignment="1">
      <alignment vertical="top" wrapText="1"/>
    </xf>
    <xf numFmtId="171" fontId="2" fillId="3" borderId="0" xfId="6" applyNumberFormat="1" applyFont="1" applyFill="1" applyBorder="1" applyAlignment="1">
      <alignment vertical="top" wrapText="1"/>
    </xf>
    <xf numFmtId="171" fontId="2" fillId="3" borderId="23" xfId="6" applyNumberFormat="1" applyFont="1" applyFill="1" applyBorder="1" applyAlignment="1">
      <alignment vertical="top" wrapText="1"/>
    </xf>
    <xf numFmtId="171" fontId="2" fillId="3" borderId="26" xfId="6" applyNumberFormat="1" applyFont="1" applyFill="1" applyBorder="1" applyAlignment="1">
      <alignment vertical="top" wrapText="1"/>
    </xf>
    <xf numFmtId="171" fontId="2" fillId="3" borderId="27" xfId="6" applyNumberFormat="1" applyFont="1" applyFill="1" applyBorder="1" applyAlignment="1">
      <alignment vertical="top" wrapText="1"/>
    </xf>
    <xf numFmtId="171" fontId="2" fillId="3" borderId="28" xfId="6" applyNumberFormat="1" applyFont="1" applyFill="1" applyBorder="1" applyAlignment="1">
      <alignment vertical="top" wrapText="1"/>
    </xf>
    <xf numFmtId="171" fontId="2" fillId="3" borderId="0" xfId="6" applyNumberFormat="1" applyFont="1" applyFill="1" applyBorder="1" applyAlignment="1">
      <alignment horizontal="center"/>
    </xf>
    <xf numFmtId="171" fontId="21" fillId="3" borderId="0" xfId="6" applyNumberFormat="1" applyFont="1" applyFill="1" applyBorder="1" applyAlignment="1">
      <alignment horizontal="center"/>
    </xf>
    <xf numFmtId="10" fontId="2" fillId="3" borderId="1" xfId="6" applyNumberFormat="1" applyFont="1" applyFill="1" applyBorder="1" applyAlignment="1">
      <alignment horizontal="center" vertical="center"/>
    </xf>
    <xf numFmtId="10" fontId="2" fillId="3" borderId="25" xfId="6" applyNumberFormat="1" applyFont="1" applyFill="1" applyBorder="1" applyAlignment="1">
      <alignment horizontal="center" vertical="center"/>
    </xf>
    <xf numFmtId="10" fontId="2" fillId="3" borderId="2" xfId="6" applyNumberFormat="1" applyFont="1" applyFill="1" applyBorder="1" applyAlignment="1">
      <alignment horizontal="center" vertical="center"/>
    </xf>
    <xf numFmtId="3" fontId="35" fillId="3" borderId="0" xfId="7" applyNumberFormat="1" applyFont="1" applyFill="1" applyAlignment="1">
      <alignment horizontal="center"/>
    </xf>
    <xf numFmtId="10" fontId="2" fillId="3" borderId="10" xfId="6" applyNumberFormat="1" applyFont="1" applyFill="1" applyBorder="1" applyAlignment="1">
      <alignment horizontal="center"/>
    </xf>
    <xf numFmtId="10" fontId="2" fillId="3" borderId="29" xfId="6" applyNumberFormat="1" applyFont="1" applyFill="1" applyBorder="1" applyAlignment="1">
      <alignment horizontal="center"/>
    </xf>
    <xf numFmtId="10" fontId="2" fillId="3" borderId="15" xfId="6" applyNumberFormat="1" applyFont="1" applyFill="1" applyBorder="1" applyAlignment="1">
      <alignment horizontal="center"/>
    </xf>
    <xf numFmtId="3" fontId="2" fillId="3" borderId="1" xfId="7" applyNumberFormat="1" applyFill="1" applyBorder="1" applyAlignment="1">
      <alignment horizontal="center" wrapText="1"/>
    </xf>
    <xf numFmtId="3" fontId="2" fillId="3" borderId="25" xfId="7" applyNumberFormat="1" applyFill="1" applyBorder="1" applyAlignment="1">
      <alignment horizontal="center" wrapText="1"/>
    </xf>
    <xf numFmtId="3" fontId="2" fillId="3" borderId="2" xfId="7" applyNumberFormat="1" applyFill="1" applyBorder="1" applyAlignment="1">
      <alignment horizontal="center" wrapText="1"/>
    </xf>
    <xf numFmtId="4" fontId="2" fillId="3" borderId="1" xfId="7" applyNumberFormat="1" applyFill="1" applyBorder="1" applyAlignment="1">
      <alignment horizontal="center"/>
    </xf>
    <xf numFmtId="4" fontId="2" fillId="3" borderId="25" xfId="7" applyNumberFormat="1" applyFill="1" applyBorder="1" applyAlignment="1">
      <alignment horizontal="center"/>
    </xf>
    <xf numFmtId="4" fontId="2" fillId="3" borderId="2" xfId="7" applyNumberFormat="1" applyFill="1" applyBorder="1" applyAlignment="1">
      <alignment horizontal="center"/>
    </xf>
    <xf numFmtId="4" fontId="2" fillId="3" borderId="8" xfId="7" applyNumberFormat="1" applyFill="1" applyBorder="1" applyAlignment="1">
      <alignment horizontal="center"/>
    </xf>
    <xf numFmtId="10" fontId="2" fillId="3" borderId="1" xfId="6" applyNumberFormat="1" applyFont="1" applyFill="1" applyBorder="1" applyAlignment="1">
      <alignment horizontal="center"/>
    </xf>
    <xf numFmtId="10" fontId="2" fillId="3" borderId="25" xfId="6" applyNumberFormat="1" applyFont="1" applyFill="1" applyBorder="1" applyAlignment="1">
      <alignment horizontal="center"/>
    </xf>
    <xf numFmtId="10" fontId="2" fillId="3" borderId="2" xfId="6" applyNumberFormat="1" applyFont="1" applyFill="1" applyBorder="1" applyAlignment="1">
      <alignment horizontal="center"/>
    </xf>
    <xf numFmtId="0" fontId="2" fillId="0" borderId="34" xfId="4" applyBorder="1" applyAlignment="1">
      <alignment horizontal="right" wrapText="1"/>
    </xf>
    <xf numFmtId="3" fontId="2" fillId="0" borderId="33" xfId="4" applyNumberFormat="1" applyBorder="1" applyAlignment="1" applyProtection="1">
      <alignment horizontal="center" vertical="center"/>
      <protection locked="0"/>
    </xf>
    <xf numFmtId="3" fontId="2" fillId="0" borderId="34" xfId="4" applyNumberFormat="1" applyBorder="1" applyAlignment="1" applyProtection="1">
      <alignment horizontal="center" vertical="center"/>
      <protection locked="0"/>
    </xf>
    <xf numFmtId="3" fontId="2" fillId="0" borderId="5" xfId="4" applyNumberFormat="1" applyBorder="1" applyAlignment="1" applyProtection="1">
      <alignment horizontal="center" vertical="center"/>
      <protection locked="0"/>
    </xf>
    <xf numFmtId="0" fontId="13" fillId="2" borderId="0" xfId="7" applyFont="1" applyFill="1" applyAlignment="1">
      <alignment horizontal="center" vertical="center"/>
    </xf>
    <xf numFmtId="0" fontId="13" fillId="0" borderId="10" xfId="4" applyFont="1" applyBorder="1" applyAlignment="1">
      <alignment horizontal="center" vertical="center" wrapText="1"/>
    </xf>
    <xf numFmtId="0" fontId="13" fillId="0" borderId="29" xfId="4" applyFont="1" applyBorder="1" applyAlignment="1">
      <alignment horizontal="center" vertical="center" wrapText="1"/>
    </xf>
    <xf numFmtId="0" fontId="13" fillId="0" borderId="58" xfId="4" applyFont="1" applyBorder="1" applyAlignment="1">
      <alignment horizontal="center" vertical="center" wrapText="1"/>
    </xf>
    <xf numFmtId="0" fontId="13" fillId="0" borderId="30" xfId="4" applyFont="1" applyBorder="1" applyAlignment="1">
      <alignment horizontal="center" vertical="center" wrapText="1"/>
    </xf>
    <xf numFmtId="0" fontId="13" fillId="0" borderId="31" xfId="4" applyFont="1" applyBorder="1" applyAlignment="1">
      <alignment horizontal="center" vertical="center" wrapText="1"/>
    </xf>
    <xf numFmtId="0" fontId="13" fillId="0" borderId="59" xfId="4" applyFont="1" applyBorder="1" applyAlignment="1">
      <alignment horizontal="center" vertical="center" wrapText="1"/>
    </xf>
    <xf numFmtId="0" fontId="19" fillId="7" borderId="33" xfId="4" applyFont="1" applyFill="1" applyBorder="1" applyAlignment="1">
      <alignment horizontal="center" vertical="center"/>
    </xf>
    <xf numFmtId="0" fontId="19" fillId="7" borderId="5" xfId="4" applyFont="1" applyFill="1" applyBorder="1" applyAlignment="1">
      <alignment horizontal="center" vertical="center"/>
    </xf>
    <xf numFmtId="0" fontId="19" fillId="11" borderId="33" xfId="4" applyFont="1" applyFill="1" applyBorder="1" applyAlignment="1">
      <alignment horizontal="center" vertical="center"/>
    </xf>
    <xf numFmtId="0" fontId="19" fillId="11" borderId="5" xfId="4" applyFont="1" applyFill="1" applyBorder="1" applyAlignment="1">
      <alignment horizontal="center" vertical="center"/>
    </xf>
    <xf numFmtId="0" fontId="13" fillId="0" borderId="1" xfId="4" applyFont="1" applyBorder="1" applyAlignment="1">
      <alignment horizontal="right"/>
    </xf>
    <xf numFmtId="0" fontId="13" fillId="0" borderId="25" xfId="4" applyFont="1" applyBorder="1" applyAlignment="1">
      <alignment horizontal="right"/>
    </xf>
    <xf numFmtId="0" fontId="13" fillId="0" borderId="2" xfId="4" applyFont="1" applyBorder="1" applyAlignment="1">
      <alignment horizontal="right"/>
    </xf>
    <xf numFmtId="0" fontId="19" fillId="7" borderId="0" xfId="4" applyFont="1" applyFill="1" applyAlignment="1">
      <alignment horizontal="center"/>
    </xf>
    <xf numFmtId="0" fontId="13" fillId="9" borderId="1" xfId="4" applyFont="1" applyFill="1" applyBorder="1" applyAlignment="1">
      <alignment horizontal="center"/>
    </xf>
    <xf numFmtId="0" fontId="13" fillId="9" borderId="25" xfId="4" applyFont="1" applyFill="1" applyBorder="1" applyAlignment="1">
      <alignment horizontal="center"/>
    </xf>
    <xf numFmtId="0" fontId="13" fillId="9" borderId="2" xfId="4" applyFont="1" applyFill="1" applyBorder="1" applyAlignment="1">
      <alignment horizontal="center"/>
    </xf>
    <xf numFmtId="0" fontId="2" fillId="0" borderId="1" xfId="4" applyBorder="1" applyAlignment="1">
      <alignment horizontal="right"/>
    </xf>
    <xf numFmtId="0" fontId="2" fillId="0" borderId="25" xfId="4" applyBorder="1" applyAlignment="1">
      <alignment horizontal="right"/>
    </xf>
    <xf numFmtId="0" fontId="2" fillId="0" borderId="2" xfId="4" applyBorder="1" applyAlignment="1">
      <alignment horizontal="right"/>
    </xf>
    <xf numFmtId="0" fontId="13" fillId="8" borderId="1" xfId="4" applyFont="1" applyFill="1" applyBorder="1" applyAlignment="1">
      <alignment horizontal="right"/>
    </xf>
    <xf numFmtId="0" fontId="13" fillId="8" borderId="25" xfId="4" applyFont="1" applyFill="1" applyBorder="1" applyAlignment="1">
      <alignment horizontal="right"/>
    </xf>
    <xf numFmtId="0" fontId="13" fillId="8" borderId="2" xfId="4" applyFont="1" applyFill="1" applyBorder="1" applyAlignment="1">
      <alignment horizontal="right"/>
    </xf>
    <xf numFmtId="0" fontId="2" fillId="9" borderId="1" xfId="4" applyFill="1" applyBorder="1" applyAlignment="1">
      <alignment horizontal="right"/>
    </xf>
    <xf numFmtId="0" fontId="2" fillId="9" borderId="25" xfId="4" applyFill="1" applyBorder="1" applyAlignment="1">
      <alignment horizontal="right"/>
    </xf>
    <xf numFmtId="0" fontId="2" fillId="9" borderId="2" xfId="4" applyFill="1" applyBorder="1" applyAlignment="1">
      <alignment horizontal="right"/>
    </xf>
    <xf numFmtId="0" fontId="13" fillId="2" borderId="33" xfId="4" applyFont="1" applyFill="1" applyBorder="1" applyAlignment="1">
      <alignment horizontal="center" vertical="center" wrapText="1"/>
    </xf>
    <xf numFmtId="0" fontId="13" fillId="2" borderId="5" xfId="4" applyFont="1" applyFill="1" applyBorder="1" applyAlignment="1">
      <alignment horizontal="center" vertical="center" wrapText="1"/>
    </xf>
    <xf numFmtId="0" fontId="13" fillId="3" borderId="33" xfId="4" applyFont="1" applyFill="1" applyBorder="1" applyAlignment="1">
      <alignment horizontal="center" vertical="center"/>
    </xf>
    <xf numFmtId="0" fontId="13" fillId="3" borderId="5" xfId="4" applyFont="1" applyFill="1" applyBorder="1" applyAlignment="1">
      <alignment horizontal="center" vertical="center"/>
    </xf>
    <xf numFmtId="0" fontId="13" fillId="3" borderId="33" xfId="4" applyFont="1" applyFill="1" applyBorder="1" applyAlignment="1">
      <alignment horizontal="center" vertical="center" wrapText="1"/>
    </xf>
    <xf numFmtId="0" fontId="13" fillId="3" borderId="5" xfId="4" applyFont="1" applyFill="1" applyBorder="1" applyAlignment="1">
      <alignment horizontal="center" vertical="center" wrapText="1"/>
    </xf>
    <xf numFmtId="0" fontId="73" fillId="13" borderId="1" xfId="76" applyFont="1" applyFill="1" applyBorder="1" applyAlignment="1">
      <alignment horizontal="center" vertical="center"/>
    </xf>
    <xf numFmtId="0" fontId="73" fillId="13" borderId="25" xfId="76" applyFont="1" applyFill="1" applyBorder="1" applyAlignment="1">
      <alignment horizontal="center" vertical="center"/>
    </xf>
    <xf numFmtId="0" fontId="73" fillId="13" borderId="2" xfId="76" applyFont="1" applyFill="1" applyBorder="1" applyAlignment="1">
      <alignment horizontal="center" vertical="center"/>
    </xf>
    <xf numFmtId="0" fontId="14" fillId="6" borderId="1" xfId="77" applyFont="1" applyFill="1" applyBorder="1" applyAlignment="1">
      <alignment horizontal="center" vertical="center"/>
    </xf>
    <xf numFmtId="0" fontId="14" fillId="6" borderId="25" xfId="77" applyFont="1" applyFill="1" applyBorder="1" applyAlignment="1">
      <alignment horizontal="center" vertical="center"/>
    </xf>
    <xf numFmtId="0" fontId="14" fillId="6" borderId="2" xfId="77" applyFont="1" applyFill="1" applyBorder="1" applyAlignment="1">
      <alignment horizontal="center" vertical="center"/>
    </xf>
    <xf numFmtId="0" fontId="18" fillId="0" borderId="14" xfId="77" applyFont="1" applyBorder="1" applyAlignment="1">
      <alignment horizontal="center" wrapText="1"/>
    </xf>
    <xf numFmtId="0" fontId="18" fillId="0" borderId="25" xfId="77" applyFont="1" applyBorder="1" applyAlignment="1">
      <alignment horizontal="center" wrapText="1"/>
    </xf>
    <xf numFmtId="0" fontId="18" fillId="0" borderId="83" xfId="77" applyFont="1" applyBorder="1" applyAlignment="1">
      <alignment horizontal="center" wrapText="1"/>
    </xf>
    <xf numFmtId="0" fontId="14" fillId="0" borderId="29" xfId="77" applyFont="1" applyBorder="1" applyAlignment="1">
      <alignment horizontal="center" vertical="center"/>
    </xf>
    <xf numFmtId="0" fontId="14" fillId="25" borderId="8" xfId="77" applyFont="1" applyFill="1" applyBorder="1" applyAlignment="1">
      <alignment horizontal="center" vertical="center"/>
    </xf>
    <xf numFmtId="0" fontId="14" fillId="6" borderId="8" xfId="77" applyFont="1" applyFill="1" applyBorder="1" applyAlignment="1">
      <alignment horizontal="center" vertical="center" wrapText="1"/>
    </xf>
    <xf numFmtId="0" fontId="14" fillId="30" borderId="33" xfId="77" applyFont="1" applyFill="1" applyBorder="1" applyAlignment="1">
      <alignment horizontal="center" vertical="center" wrapText="1"/>
    </xf>
    <xf numFmtId="0" fontId="14" fillId="30" borderId="5" xfId="77" applyFont="1" applyFill="1" applyBorder="1" applyAlignment="1">
      <alignment horizontal="center" vertical="center" wrapText="1"/>
    </xf>
    <xf numFmtId="0" fontId="14" fillId="25" borderId="33" xfId="77" applyFont="1" applyFill="1" applyBorder="1" applyAlignment="1">
      <alignment horizontal="center" vertical="center" wrapText="1"/>
    </xf>
    <xf numFmtId="0" fontId="14" fillId="25" borderId="5" xfId="77" applyFont="1" applyFill="1" applyBorder="1" applyAlignment="1">
      <alignment horizontal="center" vertical="center" wrapText="1"/>
    </xf>
    <xf numFmtId="0" fontId="14" fillId="6" borderId="1" xfId="77" applyFont="1" applyFill="1" applyBorder="1" applyAlignment="1">
      <alignment horizontal="center"/>
    </xf>
    <xf numFmtId="0" fontId="14" fillId="6" borderId="25" xfId="77" applyFont="1" applyFill="1" applyBorder="1" applyAlignment="1">
      <alignment horizontal="center"/>
    </xf>
    <xf numFmtId="0" fontId="14" fillId="6" borderId="2" xfId="77" applyFont="1" applyFill="1" applyBorder="1" applyAlignment="1">
      <alignment horizontal="center"/>
    </xf>
    <xf numFmtId="0" fontId="14" fillId="0" borderId="0" xfId="77" applyFont="1" applyAlignment="1">
      <alignment horizontal="center" vertical="center"/>
    </xf>
    <xf numFmtId="0" fontId="18" fillId="0" borderId="33" xfId="77" applyFont="1" applyBorder="1" applyAlignment="1">
      <alignment horizontal="center" vertical="center" wrapText="1"/>
    </xf>
    <xf numFmtId="0" fontId="18" fillId="0" borderId="34" xfId="77" applyFont="1" applyBorder="1" applyAlignment="1">
      <alignment horizontal="center" vertical="center" wrapText="1"/>
    </xf>
    <xf numFmtId="0" fontId="18" fillId="0" borderId="5" xfId="77" applyFont="1" applyBorder="1" applyAlignment="1">
      <alignment horizontal="center" vertical="center" wrapText="1"/>
    </xf>
    <xf numFmtId="0" fontId="18" fillId="0" borderId="8" xfId="77" applyFont="1" applyBorder="1" applyAlignment="1">
      <alignment horizontal="center" vertical="center" wrapText="1"/>
    </xf>
    <xf numFmtId="0" fontId="18" fillId="0" borderId="33" xfId="77" applyFont="1" applyBorder="1" applyAlignment="1">
      <alignment horizontal="center" vertical="center"/>
    </xf>
    <xf numFmtId="0" fontId="18" fillId="0" borderId="34" xfId="77" applyFont="1" applyBorder="1" applyAlignment="1">
      <alignment horizontal="center" vertical="center"/>
    </xf>
    <xf numFmtId="0" fontId="18" fillId="0" borderId="5" xfId="77" applyFont="1" applyBorder="1" applyAlignment="1">
      <alignment horizontal="center" vertical="center"/>
    </xf>
    <xf numFmtId="2" fontId="18" fillId="0" borderId="0" xfId="77" applyNumberFormat="1" applyFont="1" applyAlignment="1">
      <alignment horizontal="center" vertical="center"/>
    </xf>
    <xf numFmtId="0" fontId="2" fillId="0" borderId="33" xfId="77" applyBorder="1" applyAlignment="1">
      <alignment horizontal="center" vertical="center"/>
    </xf>
    <xf numFmtId="0" fontId="2" fillId="0" borderId="34" xfId="77" applyBorder="1" applyAlignment="1">
      <alignment horizontal="center" vertical="center"/>
    </xf>
    <xf numFmtId="0" fontId="2" fillId="0" borderId="5" xfId="77" applyBorder="1" applyAlignment="1">
      <alignment horizontal="center" vertical="center"/>
    </xf>
    <xf numFmtId="171" fontId="18" fillId="0" borderId="33" xfId="77" applyNumberFormat="1" applyFont="1" applyBorder="1" applyAlignment="1">
      <alignment horizontal="center" vertical="center"/>
    </xf>
    <xf numFmtId="171" fontId="18" fillId="0" borderId="34" xfId="77" applyNumberFormat="1" applyFont="1" applyBorder="1" applyAlignment="1">
      <alignment horizontal="center" vertical="center"/>
    </xf>
    <xf numFmtId="171" fontId="18" fillId="0" borderId="5" xfId="77" applyNumberFormat="1" applyFont="1" applyBorder="1" applyAlignment="1">
      <alignment horizontal="center" vertical="center"/>
    </xf>
    <xf numFmtId="0" fontId="80" fillId="0" borderId="33" xfId="77" applyFont="1" applyBorder="1" applyAlignment="1">
      <alignment horizontal="center" vertical="center" wrapText="1"/>
    </xf>
    <xf numFmtId="0" fontId="80" fillId="0" borderId="5" xfId="77" applyFont="1" applyBorder="1" applyAlignment="1">
      <alignment horizontal="center" vertical="center" wrapText="1"/>
    </xf>
    <xf numFmtId="0" fontId="80" fillId="0" borderId="34" xfId="77" applyFont="1" applyBorder="1" applyAlignment="1">
      <alignment horizontal="center" vertical="center" wrapText="1"/>
    </xf>
    <xf numFmtId="0" fontId="14" fillId="30" borderId="34" xfId="77" applyFont="1" applyFill="1" applyBorder="1" applyAlignment="1">
      <alignment horizontal="center" vertical="center" wrapText="1"/>
    </xf>
    <xf numFmtId="0" fontId="19" fillId="7" borderId="1" xfId="7" applyFont="1" applyFill="1" applyBorder="1" applyAlignment="1">
      <alignment horizontal="center" vertical="center"/>
    </xf>
    <xf numFmtId="0" fontId="19" fillId="7" borderId="35" xfId="7" applyFont="1" applyFill="1" applyBorder="1" applyAlignment="1">
      <alignment horizontal="center" vertical="center"/>
    </xf>
    <xf numFmtId="0" fontId="19" fillId="7" borderId="0" xfId="7" applyFont="1" applyFill="1" applyBorder="1" applyAlignment="1">
      <alignment horizontal="center" vertical="center"/>
    </xf>
    <xf numFmtId="49" fontId="5" fillId="5" borderId="8" xfId="4" applyNumberFormat="1" applyFont="1" applyFill="1" applyBorder="1" applyAlignment="1" applyProtection="1">
      <alignment horizontal="center" vertical="center"/>
      <protection locked="0"/>
    </xf>
    <xf numFmtId="0" fontId="2" fillId="38" borderId="35" xfId="7" applyFill="1" applyBorder="1"/>
    <xf numFmtId="0" fontId="2" fillId="0" borderId="0" xfId="7" applyFill="1"/>
    <xf numFmtId="0" fontId="2" fillId="0" borderId="24" xfId="7" applyFill="1" applyBorder="1"/>
    <xf numFmtId="0" fontId="2" fillId="0" borderId="35" xfId="7" applyFill="1" applyBorder="1"/>
    <xf numFmtId="0" fontId="19" fillId="7" borderId="24" xfId="7" applyFont="1" applyFill="1" applyBorder="1" applyAlignment="1">
      <alignment horizontal="center" vertical="center"/>
    </xf>
    <xf numFmtId="0" fontId="19" fillId="7" borderId="25" xfId="7" applyFont="1" applyFill="1" applyBorder="1" applyAlignment="1">
      <alignment horizontal="center" vertical="center"/>
    </xf>
    <xf numFmtId="0" fontId="19" fillId="7" borderId="2" xfId="7" applyFont="1" applyFill="1" applyBorder="1" applyAlignment="1">
      <alignment horizontal="center" vertical="center"/>
    </xf>
  </cellXfs>
  <cellStyles count="85">
    <cellStyle name="%" xfId="11" xr:uid="{00000000-0005-0000-0000-000000000000}"/>
    <cellStyle name="Collegamento ipertestuale" xfId="75" builtinId="8"/>
    <cellStyle name="Collegamento ipertestuale 2" xfId="84" xr:uid="{C242F503-EA47-4C87-8D27-339B14431532}"/>
    <cellStyle name="Comma, 1 dec" xfId="12" xr:uid="{00000000-0005-0000-0000-000001000000}"/>
    <cellStyle name="Euro" xfId="13" xr:uid="{00000000-0005-0000-0000-000002000000}"/>
    <cellStyle name="Euro 2" xfId="78" xr:uid="{5EC3CB81-87CE-47F1-B0E9-81E1DE666EEF}"/>
    <cellStyle name="Euro 2 2 2" xfId="14" xr:uid="{00000000-0005-0000-0000-000003000000}"/>
    <cellStyle name="Hard number" xfId="15" xr:uid="{00000000-0005-0000-0000-000004000000}"/>
    <cellStyle name="Historical" xfId="16" xr:uid="{00000000-0005-0000-0000-000005000000}"/>
    <cellStyle name="Historical 2" xfId="9" xr:uid="{00000000-0005-0000-0000-000006000000}"/>
    <cellStyle name="Migliaia" xfId="1" builtinId="3"/>
    <cellStyle name="Migliaia (0)_indicatori" xfId="17" xr:uid="{00000000-0005-0000-0000-000008000000}"/>
    <cellStyle name="Migliaia [0] 2" xfId="8" xr:uid="{00000000-0005-0000-0000-000009000000}"/>
    <cellStyle name="Migliaia 2" xfId="5" xr:uid="{00000000-0005-0000-0000-00000A000000}"/>
    <cellStyle name="Migliaia 2 2" xfId="79" xr:uid="{46F75FE2-C600-4131-A33B-61A5EE44B198}"/>
    <cellStyle name="Migliaia 3 2" xfId="74" xr:uid="{20A432DB-747D-45D1-8810-6D5FAA824325}"/>
    <cellStyle name="Normal_SHEET" xfId="82" xr:uid="{66E88E85-4B0F-46E7-B5B7-8E78C18C1610}"/>
    <cellStyle name="Normale" xfId="0" builtinId="0"/>
    <cellStyle name="Normale 2" xfId="4" xr:uid="{00000000-0005-0000-0000-00000C000000}"/>
    <cellStyle name="Normale 2 2" xfId="81" xr:uid="{62BFD344-2F64-46EC-B0E2-FADDD6509B8D}"/>
    <cellStyle name="Normale 2 5" xfId="76" xr:uid="{696BAB67-22C9-4F0E-A263-48559A78D8C6}"/>
    <cellStyle name="Normale 3" xfId="83" xr:uid="{DA1E0EC2-C8E5-492A-8C81-832A887BBE18}"/>
    <cellStyle name="Normale 9 2" xfId="7" xr:uid="{00000000-0005-0000-0000-00000D000000}"/>
    <cellStyle name="Normale_giustificativi gestione" xfId="77" xr:uid="{EBC41E16-EF23-465D-BE27-F9E0A580A2EC}"/>
    <cellStyle name="Percentuale" xfId="3" builtinId="5"/>
    <cellStyle name="Percentuale 2" xfId="6" xr:uid="{00000000-0005-0000-0000-00000F000000}"/>
    <cellStyle name="SAPBEXaggData" xfId="18" xr:uid="{00000000-0005-0000-0000-000010000000}"/>
    <cellStyle name="SAPBEXaggDataEmph" xfId="19" xr:uid="{00000000-0005-0000-0000-000011000000}"/>
    <cellStyle name="SAPBEXaggExc1" xfId="20" xr:uid="{00000000-0005-0000-0000-000012000000}"/>
    <cellStyle name="SAPBEXaggExc1Emph" xfId="21" xr:uid="{00000000-0005-0000-0000-000013000000}"/>
    <cellStyle name="SAPBEXaggExc2" xfId="22" xr:uid="{00000000-0005-0000-0000-000014000000}"/>
    <cellStyle name="SAPBEXaggExc2Emph" xfId="23" xr:uid="{00000000-0005-0000-0000-000015000000}"/>
    <cellStyle name="SAPBEXaggItem" xfId="24" xr:uid="{00000000-0005-0000-0000-000016000000}"/>
    <cellStyle name="SAPBEXbackground" xfId="25" xr:uid="{00000000-0005-0000-0000-000017000000}"/>
    <cellStyle name="SAPBEXchaText" xfId="26" xr:uid="{00000000-0005-0000-0000-000018000000}"/>
    <cellStyle name="SAPBEXexcBad7" xfId="27" xr:uid="{00000000-0005-0000-0000-000019000000}"/>
    <cellStyle name="SAPBEXexcBad8" xfId="28" xr:uid="{00000000-0005-0000-0000-00001A000000}"/>
    <cellStyle name="SAPBEXexcBad9" xfId="29" xr:uid="{00000000-0005-0000-0000-00001B000000}"/>
    <cellStyle name="SAPBEXexcCritical4" xfId="30" xr:uid="{00000000-0005-0000-0000-00001C000000}"/>
    <cellStyle name="SAPBEXexcCritical5" xfId="31" xr:uid="{00000000-0005-0000-0000-00001D000000}"/>
    <cellStyle name="SAPBEXexcCritical6" xfId="32" xr:uid="{00000000-0005-0000-0000-00001E000000}"/>
    <cellStyle name="SAPBEXexcGood1" xfId="33" xr:uid="{00000000-0005-0000-0000-00001F000000}"/>
    <cellStyle name="SAPBEXexcGood2" xfId="34" xr:uid="{00000000-0005-0000-0000-000020000000}"/>
    <cellStyle name="SAPBEXexcGood3" xfId="35" xr:uid="{00000000-0005-0000-0000-000021000000}"/>
    <cellStyle name="SAPBEXfilterDrill" xfId="36" xr:uid="{00000000-0005-0000-0000-000022000000}"/>
    <cellStyle name="SAPBEXfilterItem" xfId="37" xr:uid="{00000000-0005-0000-0000-000023000000}"/>
    <cellStyle name="SAPBEXfilterText" xfId="38" xr:uid="{00000000-0005-0000-0000-000024000000}"/>
    <cellStyle name="SAPBEXformats" xfId="39" xr:uid="{00000000-0005-0000-0000-000025000000}"/>
    <cellStyle name="SAPBEXheaderData" xfId="40" xr:uid="{00000000-0005-0000-0000-000026000000}"/>
    <cellStyle name="SAPBEXheaderItem" xfId="41" xr:uid="{00000000-0005-0000-0000-000027000000}"/>
    <cellStyle name="SAPBEXheaderRowOne" xfId="42" xr:uid="{00000000-0005-0000-0000-000028000000}"/>
    <cellStyle name="SAPBEXheaderRowThree" xfId="43" xr:uid="{00000000-0005-0000-0000-000029000000}"/>
    <cellStyle name="SAPBEXheaderRowTwo" xfId="44" xr:uid="{00000000-0005-0000-0000-00002A000000}"/>
    <cellStyle name="SAPBEXheaderSingleRow" xfId="45" xr:uid="{00000000-0005-0000-0000-00002B000000}"/>
    <cellStyle name="SAPBEXheaderText" xfId="46" xr:uid="{00000000-0005-0000-0000-00002C000000}"/>
    <cellStyle name="SAPBEXresData" xfId="47" xr:uid="{00000000-0005-0000-0000-00002D000000}"/>
    <cellStyle name="SAPBEXresDataEmph" xfId="48" xr:uid="{00000000-0005-0000-0000-00002E000000}"/>
    <cellStyle name="SAPBEXresExc1" xfId="49" xr:uid="{00000000-0005-0000-0000-00002F000000}"/>
    <cellStyle name="SAPBEXresExc1Emph" xfId="50" xr:uid="{00000000-0005-0000-0000-000030000000}"/>
    <cellStyle name="SAPBEXresExc2" xfId="51" xr:uid="{00000000-0005-0000-0000-000031000000}"/>
    <cellStyle name="SAPBEXresExc2Emph" xfId="52" xr:uid="{00000000-0005-0000-0000-000032000000}"/>
    <cellStyle name="SAPBEXresItem" xfId="53" xr:uid="{00000000-0005-0000-0000-000033000000}"/>
    <cellStyle name="SAPBEXstdData" xfId="54" xr:uid="{00000000-0005-0000-0000-000034000000}"/>
    <cellStyle name="SAPBEXstdDataEmph" xfId="55" xr:uid="{00000000-0005-0000-0000-000035000000}"/>
    <cellStyle name="SAPBEXstdExc1" xfId="56" xr:uid="{00000000-0005-0000-0000-000036000000}"/>
    <cellStyle name="SAPBEXstdExc1Emph" xfId="57" xr:uid="{00000000-0005-0000-0000-000037000000}"/>
    <cellStyle name="SAPBEXstdExc2" xfId="58" xr:uid="{00000000-0005-0000-0000-000038000000}"/>
    <cellStyle name="SAPBEXstdExc2Emph" xfId="59" xr:uid="{00000000-0005-0000-0000-000039000000}"/>
    <cellStyle name="SAPBEXstdItem" xfId="60" xr:uid="{00000000-0005-0000-0000-00003A000000}"/>
    <cellStyle name="SAPBEXstdItemHeader" xfId="61" xr:uid="{00000000-0005-0000-0000-00003B000000}"/>
    <cellStyle name="SAPBEXstdItemLeft" xfId="62" xr:uid="{00000000-0005-0000-0000-00003C000000}"/>
    <cellStyle name="SAPBEXstdItemLeftChart" xfId="63" xr:uid="{00000000-0005-0000-0000-00003D000000}"/>
    <cellStyle name="SAPBEXsubData" xfId="64" xr:uid="{00000000-0005-0000-0000-00003E000000}"/>
    <cellStyle name="SAPBEXsubDataEmph" xfId="65" xr:uid="{00000000-0005-0000-0000-00003F000000}"/>
    <cellStyle name="SAPBEXsubExc1" xfId="66" xr:uid="{00000000-0005-0000-0000-000040000000}"/>
    <cellStyle name="SAPBEXsubExc1Emph" xfId="67" xr:uid="{00000000-0005-0000-0000-000041000000}"/>
    <cellStyle name="SAPBEXsubExc2" xfId="68" xr:uid="{00000000-0005-0000-0000-000042000000}"/>
    <cellStyle name="SAPBEXsubExc2Emph" xfId="69" xr:uid="{00000000-0005-0000-0000-000043000000}"/>
    <cellStyle name="SAPBEXsubItem" xfId="70" xr:uid="{00000000-0005-0000-0000-000044000000}"/>
    <cellStyle name="SAPBEXtitle" xfId="71" xr:uid="{00000000-0005-0000-0000-000045000000}"/>
    <cellStyle name="SAPBEXundefined" xfId="72" xr:uid="{00000000-0005-0000-0000-000046000000}"/>
    <cellStyle name="Valuta" xfId="2" builtinId="4"/>
    <cellStyle name="Valuta (0)_indicatori" xfId="73" xr:uid="{00000000-0005-0000-0000-000048000000}"/>
    <cellStyle name="Valuta 2" xfId="80" xr:uid="{B477DFBB-E4B8-429D-944B-290248498DC8}"/>
    <cellStyle name="Valuta 4 2" xfId="10" xr:uid="{00000000-0005-0000-0000-000049000000}"/>
  </cellStyles>
  <dxfs count="71"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62"/>
      </font>
      <fill>
        <patternFill>
          <bgColor indexed="62"/>
        </patternFill>
      </fill>
    </dxf>
    <dxf>
      <font>
        <color rgb="FF353599"/>
      </font>
    </dxf>
    <dxf>
      <font>
        <color rgb="FF353599"/>
      </font>
    </dxf>
    <dxf>
      <font>
        <color rgb="FF353599"/>
      </font>
    </dxf>
    <dxf>
      <font>
        <color rgb="FF353599"/>
      </font>
    </dxf>
    <dxf>
      <font>
        <color rgb="FF353599"/>
      </font>
    </dxf>
    <dxf>
      <font>
        <color rgb="FF353599"/>
      </font>
    </dxf>
    <dxf>
      <font>
        <color rgb="FF353599"/>
      </font>
    </dxf>
    <dxf>
      <font>
        <b val="0"/>
        <i val="0"/>
        <color rgb="FF353599"/>
      </font>
      <fill>
        <patternFill patternType="solid">
          <bgColor rgb="FF353599"/>
        </patternFill>
      </fill>
    </dxf>
    <dxf>
      <font>
        <b val="0"/>
        <i val="0"/>
        <color rgb="FF353599"/>
      </font>
      <fill>
        <patternFill patternType="solid">
          <bgColor rgb="FF353599"/>
        </patternFill>
      </fill>
    </dxf>
    <dxf>
      <font>
        <color rgb="FF353599"/>
      </font>
      <fill>
        <patternFill>
          <fgColor rgb="FF353599"/>
        </patternFill>
      </fill>
    </dxf>
    <dxf>
      <font>
        <b val="0"/>
        <i val="0"/>
        <color rgb="FF353599"/>
      </font>
      <fill>
        <patternFill patternType="solid">
          <bgColor rgb="FF353599"/>
        </patternFill>
      </fill>
    </dxf>
    <dxf>
      <font>
        <color rgb="FF353599"/>
      </font>
      <fill>
        <patternFill>
          <fgColor rgb="FF353599"/>
        </patternFill>
      </fill>
    </dxf>
    <dxf>
      <font>
        <b val="0"/>
        <i val="0"/>
        <color rgb="FF353599"/>
      </font>
      <fill>
        <patternFill patternType="solid">
          <bgColor rgb="FF353599"/>
        </patternFill>
      </fill>
    </dxf>
    <dxf>
      <font>
        <color rgb="FF353599"/>
      </font>
    </dxf>
    <dxf>
      <font>
        <color rgb="FF353599"/>
      </font>
    </dxf>
    <dxf>
      <font>
        <color rgb="FF353599"/>
      </font>
    </dxf>
    <dxf>
      <font>
        <color rgb="FF353599"/>
      </font>
    </dxf>
    <dxf>
      <font>
        <color rgb="FF353599"/>
      </font>
    </dxf>
    <dxf>
      <font>
        <color rgb="FF353599"/>
      </font>
    </dxf>
    <dxf>
      <font>
        <color rgb="FF353599"/>
      </font>
    </dxf>
    <dxf>
      <font>
        <b val="0"/>
        <i val="0"/>
        <color rgb="FF353599"/>
      </font>
      <fill>
        <patternFill patternType="solid">
          <bgColor rgb="FF353599"/>
        </patternFill>
      </fill>
    </dxf>
    <dxf>
      <font>
        <b val="0"/>
        <i val="0"/>
        <color rgb="FF353599"/>
      </font>
      <fill>
        <patternFill patternType="solid">
          <bgColor rgb="FF353599"/>
        </patternFill>
      </fill>
    </dxf>
    <dxf>
      <font>
        <color rgb="FF353599"/>
      </font>
      <fill>
        <patternFill>
          <fgColor rgb="FF353599"/>
        </patternFill>
      </fill>
    </dxf>
    <dxf>
      <font>
        <b val="0"/>
        <i val="0"/>
        <color rgb="FF353599"/>
      </font>
      <fill>
        <patternFill patternType="solid">
          <bgColor rgb="FF353599"/>
        </patternFill>
      </fill>
    </dxf>
    <dxf>
      <font>
        <color rgb="FF353599"/>
      </font>
      <fill>
        <patternFill>
          <fgColor rgb="FF353599"/>
        </patternFill>
      </fill>
    </dxf>
    <dxf>
      <font>
        <b val="0"/>
        <i val="0"/>
        <color rgb="FF353599"/>
      </font>
      <fill>
        <patternFill patternType="solid">
          <bgColor rgb="FF353599"/>
        </patternFill>
      </fill>
    </dxf>
    <dxf>
      <font>
        <color rgb="FF353599"/>
      </font>
    </dxf>
    <dxf>
      <font>
        <color rgb="FF353599"/>
      </font>
    </dxf>
    <dxf>
      <font>
        <color rgb="FF353599"/>
      </font>
    </dxf>
    <dxf>
      <font>
        <color rgb="FF353599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62"/>
      </font>
      <fill>
        <patternFill>
          <bgColor indexed="62"/>
        </patternFill>
      </fill>
    </dxf>
    <dxf>
      <font>
        <condense val="0"/>
        <extend val="0"/>
        <color indexed="44"/>
      </font>
      <fill>
        <patternFill>
          <bgColor indexed="44"/>
        </patternFill>
      </fill>
      <border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auto="1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strike val="0"/>
        <color rgb="FF92D050"/>
      </font>
    </dxf>
    <dxf>
      <font>
        <b/>
        <i val="0"/>
        <color rgb="FF92D050"/>
      </font>
    </dxf>
    <dxf>
      <font>
        <b/>
        <i val="0"/>
        <strike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92D050"/>
      </font>
      <numFmt numFmtId="0" formatCode="General"/>
    </dxf>
    <dxf>
      <font>
        <b/>
        <i val="0"/>
        <strike val="0"/>
        <color rgb="FF92D050"/>
      </font>
    </dxf>
    <dxf>
      <font>
        <b/>
        <i val="0"/>
        <strike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92D050"/>
      </font>
    </dxf>
    <dxf>
      <font>
        <b/>
        <i val="0"/>
        <strike val="0"/>
        <color rgb="FFFF000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</dxfs>
  <tableStyles count="1" defaultTableStyle="TableStyleMedium2" defaultPivotStyle="PivotStyleLight16">
    <tableStyle name="Invisible" pivot="0" table="0" count="0" xr9:uid="{9EA1E252-51B4-44EF-BE28-9A844642A8FE}"/>
  </tableStyles>
  <colors>
    <mruColors>
      <color rgb="FF353599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0.12683739334313565"/>
          <c:y val="0.151202624671916"/>
          <c:w val="0.85203799056480589"/>
          <c:h val="0.645386457027533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Investimenti!$B$7</c:f>
              <c:strCache>
                <c:ptCount val="1"/>
                <c:pt idx="0">
                  <c:v>Investimento Lordo Totale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it-I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Investimenti!$G$4:$L$4</c:f>
              <c:strCache>
                <c:ptCount val="6"/>
                <c:pt idx="0">
                  <c:v>anno 1</c:v>
                </c:pt>
                <c:pt idx="1">
                  <c:v>anno 2</c:v>
                </c:pt>
                <c:pt idx="2">
                  <c:v>anno 3</c:v>
                </c:pt>
                <c:pt idx="3">
                  <c:v>anno 4</c:v>
                </c:pt>
                <c:pt idx="4">
                  <c:v>anno 5</c:v>
                </c:pt>
                <c:pt idx="5">
                  <c:v>anno 6</c:v>
                </c:pt>
              </c:strCache>
            </c:strRef>
          </c:cat>
          <c:val>
            <c:numRef>
              <c:f>Investimenti!$G$7:$L$7</c:f>
              <c:numCache>
                <c:formatCode>#,##0;\(#,##0\);\-</c:formatCode>
                <c:ptCount val="6"/>
                <c:pt idx="0">
                  <c:v>5407753.2212252971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DE-4B05-9AC1-314DEDC4F3B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49933440"/>
        <c:axId val="149365504"/>
      </c:barChart>
      <c:catAx>
        <c:axId val="149933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it-IT"/>
          </a:p>
        </c:txPr>
        <c:crossAx val="14936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36550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;\(#,##0\);\-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it-IT"/>
          </a:p>
        </c:txPr>
        <c:crossAx val="1499334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333399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it-IT"/>
    </a:p>
  </c:txPr>
  <c:printSettings>
    <c:headerFooter alignWithMargins="0"/>
    <c:pageMargins b="1" l="0.75000000000000533" r="0.75000000000000533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55682080924855493"/>
          <c:y val="3.683241252302026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3272740112163176E-2"/>
          <c:y val="0.20678183883730952"/>
          <c:w val="0.86905830412816898"/>
          <c:h val="0.6505608440735952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'CE CC opz1'!$B$37</c:f>
              <c:strCache>
                <c:ptCount val="1"/>
                <c:pt idx="0">
                  <c:v>EBITDA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it-I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'CE CC opz1'!$C$4:$H$4</c:f>
              <c:strCache>
                <c:ptCount val="6"/>
                <c:pt idx="0">
                  <c:v>anno 1</c:v>
                </c:pt>
                <c:pt idx="1">
                  <c:v>anno 2</c:v>
                </c:pt>
                <c:pt idx="2">
                  <c:v>anno 3</c:v>
                </c:pt>
                <c:pt idx="3">
                  <c:v>anno 4</c:v>
                </c:pt>
                <c:pt idx="4">
                  <c:v>anno 5</c:v>
                </c:pt>
                <c:pt idx="5">
                  <c:v>anno 6</c:v>
                </c:pt>
              </c:strCache>
            </c:strRef>
          </c:cat>
          <c:val>
            <c:numRef>
              <c:f>'CE CC opz1'!$C$37:$H$37</c:f>
              <c:numCache>
                <c:formatCode>#,##0;\(#,##0\);\-</c:formatCode>
                <c:ptCount val="6"/>
                <c:pt idx="0">
                  <c:v>10134.58092331537</c:v>
                </c:pt>
                <c:pt idx="1">
                  <c:v>474981.27379651531</c:v>
                </c:pt>
                <c:pt idx="2">
                  <c:v>476103.0653284794</c:v>
                </c:pt>
                <c:pt idx="3">
                  <c:v>477236.24044419569</c:v>
                </c:pt>
                <c:pt idx="4">
                  <c:v>478380.9162928703</c:v>
                </c:pt>
                <c:pt idx="5">
                  <c:v>479537.21126146929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E4-4900-80AA-746BCA2BEC4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49405696"/>
        <c:axId val="149408384"/>
      </c:barChart>
      <c:catAx>
        <c:axId val="149405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it-IT"/>
          </a:p>
        </c:txPr>
        <c:crossAx val="149408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40838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;\(#,##0\);\-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it-IT"/>
          </a:p>
        </c:txPr>
        <c:crossAx val="1494056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333399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it-IT"/>
    </a:p>
  </c:txPr>
  <c:printSettings>
    <c:headerFooter alignWithMargins="0"/>
    <c:pageMargins b="1" l="0.75000000000000533" r="0.75000000000000533" t="1" header="0.5" footer="0.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9525</xdr:rowOff>
    </xdr:from>
    <xdr:to>
      <xdr:col>20</xdr:col>
      <xdr:colOff>190500</xdr:colOff>
      <xdr:row>25</xdr:row>
      <xdr:rowOff>9525</xdr:rowOff>
    </xdr:to>
    <xdr:graphicFrame macro="">
      <xdr:nvGraphicFramePr>
        <xdr:cNvPr id="16" name="Chart 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180975</xdr:colOff>
      <xdr:row>2</xdr:row>
      <xdr:rowOff>47625</xdr:rowOff>
    </xdr:from>
    <xdr:to>
      <xdr:col>10</xdr:col>
      <xdr:colOff>171450</xdr:colOff>
      <xdr:row>3</xdr:row>
      <xdr:rowOff>123825</xdr:rowOff>
    </xdr:to>
    <xdr:sp macro="" textlink="">
      <xdr:nvSpPr>
        <xdr:cNvPr id="17" name="Text Box 3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295275" y="381000"/>
          <a:ext cx="1962150" cy="266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t" upright="1"/>
        <a:lstStyle/>
        <a:p>
          <a:pPr algn="ctr" rtl="0">
            <a:defRPr sz="1000"/>
          </a:pPr>
          <a:r>
            <a:rPr lang="it-IT" sz="1200" b="1" i="0" strike="noStrike">
              <a:solidFill>
                <a:srgbClr val="333399"/>
              </a:solidFill>
              <a:latin typeface="Calibri"/>
            </a:rPr>
            <a:t>[ Identificazione Intervento ]</a:t>
          </a:r>
        </a:p>
      </xdr:txBody>
    </xdr:sp>
    <xdr:clientData/>
  </xdr:twoCellAnchor>
  <xdr:twoCellAnchor>
    <xdr:from>
      <xdr:col>23</xdr:col>
      <xdr:colOff>0</xdr:colOff>
      <xdr:row>2</xdr:row>
      <xdr:rowOff>47625</xdr:rowOff>
    </xdr:from>
    <xdr:to>
      <xdr:col>32</xdr:col>
      <xdr:colOff>133350</xdr:colOff>
      <xdr:row>3</xdr:row>
      <xdr:rowOff>123825</xdr:rowOff>
    </xdr:to>
    <xdr:sp macro="" textlink="">
      <xdr:nvSpPr>
        <xdr:cNvPr id="18" name="Text Box 4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5048250" y="381000"/>
          <a:ext cx="2105025" cy="266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t" upright="1"/>
        <a:lstStyle/>
        <a:p>
          <a:pPr algn="ctr" rtl="0">
            <a:defRPr sz="1000"/>
          </a:pPr>
          <a:r>
            <a:rPr lang="it-IT" sz="1200" b="1" i="0" strike="noStrike">
              <a:solidFill>
                <a:srgbClr val="333399"/>
              </a:solidFill>
              <a:latin typeface="Calibri"/>
            </a:rPr>
            <a:t>[ Classificazione Investimento ]</a:t>
          </a:r>
        </a:p>
      </xdr:txBody>
    </xdr:sp>
    <xdr:clientData/>
  </xdr:twoCellAnchor>
  <xdr:twoCellAnchor>
    <xdr:from>
      <xdr:col>1</xdr:col>
      <xdr:colOff>19050</xdr:colOff>
      <xdr:row>26</xdr:row>
      <xdr:rowOff>0</xdr:rowOff>
    </xdr:from>
    <xdr:to>
      <xdr:col>20</xdr:col>
      <xdr:colOff>190500</xdr:colOff>
      <xdr:row>35</xdr:row>
      <xdr:rowOff>9525</xdr:rowOff>
    </xdr:to>
    <xdr:graphicFrame macro="">
      <xdr:nvGraphicFramePr>
        <xdr:cNvPr id="19" name="Chart 6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0</xdr:colOff>
      <xdr:row>14</xdr:row>
      <xdr:rowOff>66675</xdr:rowOff>
    </xdr:from>
    <xdr:to>
      <xdr:col>29</xdr:col>
      <xdr:colOff>0</xdr:colOff>
      <xdr:row>15</xdr:row>
      <xdr:rowOff>142875</xdr:rowOff>
    </xdr:to>
    <xdr:sp macro="" textlink="">
      <xdr:nvSpPr>
        <xdr:cNvPr id="20" name="Text Box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5048250" y="2705100"/>
          <a:ext cx="1343025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t" upright="1"/>
        <a:lstStyle/>
        <a:p>
          <a:pPr algn="ctr" rtl="0">
            <a:defRPr sz="1000"/>
          </a:pPr>
          <a:r>
            <a:rPr lang="it-IT" sz="1200" b="1" i="0" strike="noStrike">
              <a:solidFill>
                <a:srgbClr val="333399"/>
              </a:solidFill>
              <a:latin typeface="Calibri"/>
            </a:rPr>
            <a:t>[ Importi   </a:t>
          </a:r>
          <a:r>
            <a:rPr lang="it-IT" sz="1000" b="1" i="0" strike="noStrike">
              <a:solidFill>
                <a:srgbClr val="333399"/>
              </a:solidFill>
              <a:latin typeface="Calibri"/>
            </a:rPr>
            <a:t>  (€)</a:t>
          </a:r>
          <a:r>
            <a:rPr lang="it-IT" sz="1200" b="1" i="0" strike="noStrike">
              <a:solidFill>
                <a:srgbClr val="333399"/>
              </a:solidFill>
              <a:latin typeface="Calibri"/>
            </a:rPr>
            <a:t> ]</a:t>
          </a:r>
        </a:p>
      </xdr:txBody>
    </xdr:sp>
    <xdr:clientData/>
  </xdr:twoCellAnchor>
  <xdr:twoCellAnchor>
    <xdr:from>
      <xdr:col>43</xdr:col>
      <xdr:colOff>171450</xdr:colOff>
      <xdr:row>2</xdr:row>
      <xdr:rowOff>47625</xdr:rowOff>
    </xdr:from>
    <xdr:to>
      <xdr:col>50</xdr:col>
      <xdr:colOff>152400</xdr:colOff>
      <xdr:row>3</xdr:row>
      <xdr:rowOff>123825</xdr:rowOff>
    </xdr:to>
    <xdr:sp macro="" textlink="">
      <xdr:nvSpPr>
        <xdr:cNvPr id="21" name="Text Box 8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9705975" y="381000"/>
          <a:ext cx="1447800" cy="266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t" upright="1"/>
        <a:lstStyle/>
        <a:p>
          <a:pPr algn="ctr" rtl="0">
            <a:defRPr sz="1000"/>
          </a:pPr>
          <a:r>
            <a:rPr lang="it-IT" sz="1200" b="1" i="0" strike="noStrike">
              <a:solidFill>
                <a:srgbClr val="333399"/>
              </a:solidFill>
              <a:latin typeface="Calibri"/>
            </a:rPr>
            <a:t>[ Titolo Investimento ]</a:t>
          </a:r>
        </a:p>
      </xdr:txBody>
    </xdr:sp>
    <xdr:clientData/>
  </xdr:twoCellAnchor>
  <xdr:twoCellAnchor>
    <xdr:from>
      <xdr:col>3</xdr:col>
      <xdr:colOff>95249</xdr:colOff>
      <xdr:row>14</xdr:row>
      <xdr:rowOff>57150</xdr:rowOff>
    </xdr:from>
    <xdr:to>
      <xdr:col>16</xdr:col>
      <xdr:colOff>161924</xdr:colOff>
      <xdr:row>15</xdr:row>
      <xdr:rowOff>95250</xdr:rowOff>
    </xdr:to>
    <xdr:sp macro="" textlink="">
      <xdr:nvSpPr>
        <xdr:cNvPr id="22" name="Text Box 9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846666" y="2533650"/>
          <a:ext cx="2955925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t" upright="1"/>
        <a:lstStyle/>
        <a:p>
          <a:pPr algn="ctr" rtl="0">
            <a:defRPr sz="1000"/>
          </a:pPr>
          <a:r>
            <a:rPr lang="it-IT" sz="1200" b="1" i="0" strike="noStrike">
              <a:solidFill>
                <a:srgbClr val="333399"/>
              </a:solidFill>
              <a:latin typeface="Calibri"/>
            </a:rPr>
            <a:t>[ Importo Investimento Lordo per anno </a:t>
          </a:r>
          <a:r>
            <a:rPr lang="it-IT" sz="1000" b="1" i="0" strike="noStrike">
              <a:solidFill>
                <a:srgbClr val="333399"/>
              </a:solidFill>
              <a:latin typeface="Calibri"/>
            </a:rPr>
            <a:t>(€)</a:t>
          </a:r>
          <a:r>
            <a:rPr lang="it-IT" sz="1200" b="1" i="0" strike="noStrike">
              <a:solidFill>
                <a:srgbClr val="333399"/>
              </a:solidFill>
              <a:latin typeface="Calibri"/>
            </a:rPr>
            <a:t> ]</a:t>
          </a:r>
        </a:p>
      </xdr:txBody>
    </xdr:sp>
    <xdr:clientData/>
  </xdr:twoCellAnchor>
  <xdr:twoCellAnchor>
    <xdr:from>
      <xdr:col>1</xdr:col>
      <xdr:colOff>200025</xdr:colOff>
      <xdr:row>25</xdr:row>
      <xdr:rowOff>66675</xdr:rowOff>
    </xdr:from>
    <xdr:to>
      <xdr:col>10</xdr:col>
      <xdr:colOff>133350</xdr:colOff>
      <xdr:row>26</xdr:row>
      <xdr:rowOff>142875</xdr:rowOff>
    </xdr:to>
    <xdr:sp macro="" textlink="">
      <xdr:nvSpPr>
        <xdr:cNvPr id="23" name="Text Box 10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314325" y="4791075"/>
          <a:ext cx="1905000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t" upright="1"/>
        <a:lstStyle/>
        <a:p>
          <a:pPr algn="ctr" rtl="0">
            <a:defRPr sz="1000"/>
          </a:pPr>
          <a:r>
            <a:rPr lang="it-IT" sz="1200" b="1" i="0" strike="noStrike">
              <a:solidFill>
                <a:srgbClr val="333399"/>
              </a:solidFill>
              <a:latin typeface="Calibri"/>
            </a:rPr>
            <a:t>[ Impatto su EBITDA </a:t>
          </a:r>
          <a:r>
            <a:rPr lang="it-IT" sz="1000" b="1" i="0" strike="noStrike">
              <a:solidFill>
                <a:srgbClr val="333399"/>
              </a:solidFill>
              <a:latin typeface="Calibri"/>
            </a:rPr>
            <a:t>(€)</a:t>
          </a:r>
          <a:r>
            <a:rPr lang="it-IT" sz="1200" b="1" i="0" strike="noStrike">
              <a:solidFill>
                <a:srgbClr val="333399"/>
              </a:solidFill>
              <a:latin typeface="Calibri"/>
            </a:rPr>
            <a:t> ]</a:t>
          </a:r>
        </a:p>
      </xdr:txBody>
    </xdr:sp>
    <xdr:clientData/>
  </xdr:twoCellAnchor>
  <xdr:twoCellAnchor>
    <xdr:from>
      <xdr:col>23</xdr:col>
      <xdr:colOff>0</xdr:colOff>
      <xdr:row>25</xdr:row>
      <xdr:rowOff>57150</xdr:rowOff>
    </xdr:from>
    <xdr:to>
      <xdr:col>34</xdr:col>
      <xdr:colOff>66675</xdr:colOff>
      <xdr:row>26</xdr:row>
      <xdr:rowOff>133350</xdr:rowOff>
    </xdr:to>
    <xdr:sp macro="" textlink="">
      <xdr:nvSpPr>
        <xdr:cNvPr id="24" name="Text Box 1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5048250" y="4781550"/>
          <a:ext cx="2457450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t" upright="1"/>
        <a:lstStyle/>
        <a:p>
          <a:pPr algn="ctr" rtl="0">
            <a:defRPr sz="1000"/>
          </a:pPr>
          <a:r>
            <a:rPr lang="it-IT" sz="1200" b="1" i="0" strike="noStrike">
              <a:solidFill>
                <a:srgbClr val="333399"/>
              </a:solidFill>
              <a:latin typeface="Calibri"/>
            </a:rPr>
            <a:t>[ Contributi c/capitale e Dismissioni]</a:t>
          </a:r>
        </a:p>
      </xdr:txBody>
    </xdr:sp>
    <xdr:clientData/>
  </xdr:twoCellAnchor>
  <xdr:twoCellAnchor>
    <xdr:from>
      <xdr:col>43</xdr:col>
      <xdr:colOff>114300</xdr:colOff>
      <xdr:row>25</xdr:row>
      <xdr:rowOff>47625</xdr:rowOff>
    </xdr:from>
    <xdr:to>
      <xdr:col>48</xdr:col>
      <xdr:colOff>95250</xdr:colOff>
      <xdr:row>26</xdr:row>
      <xdr:rowOff>123825</xdr:rowOff>
    </xdr:to>
    <xdr:sp macro="" textlink="">
      <xdr:nvSpPr>
        <xdr:cNvPr id="25" name="Text Box 12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9648825" y="4772025"/>
          <a:ext cx="1009650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t" upright="1"/>
        <a:lstStyle/>
        <a:p>
          <a:pPr algn="ctr" rtl="0">
            <a:defRPr sz="1000"/>
          </a:pPr>
          <a:r>
            <a:rPr lang="it-IT" sz="1200" b="1" i="0" strike="noStrike">
              <a:solidFill>
                <a:srgbClr val="333399"/>
              </a:solidFill>
              <a:latin typeface="Calibri"/>
            </a:rPr>
            <a:t>[ Annotazioni ]</a:t>
          </a:r>
        </a:p>
      </xdr:txBody>
    </xdr:sp>
    <xdr:clientData/>
  </xdr:twoCellAnchor>
  <xdr:twoCellAnchor>
    <xdr:from>
      <xdr:col>1</xdr:col>
      <xdr:colOff>190500</xdr:colOff>
      <xdr:row>35</xdr:row>
      <xdr:rowOff>57150</xdr:rowOff>
    </xdr:from>
    <xdr:to>
      <xdr:col>5</xdr:col>
      <xdr:colOff>161925</xdr:colOff>
      <xdr:row>36</xdr:row>
      <xdr:rowOff>133350</xdr:rowOff>
    </xdr:to>
    <xdr:sp macro="" textlink="">
      <xdr:nvSpPr>
        <xdr:cNvPr id="26" name="Text Box 1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304800" y="6705600"/>
          <a:ext cx="895350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t" upright="1"/>
        <a:lstStyle/>
        <a:p>
          <a:pPr algn="ctr" rtl="0">
            <a:defRPr sz="1000"/>
          </a:pPr>
          <a:r>
            <a:rPr lang="it-IT" sz="1200" b="1" i="0" strike="noStrike">
              <a:solidFill>
                <a:srgbClr val="333399"/>
              </a:solidFill>
              <a:latin typeface="Calibri"/>
            </a:rPr>
            <a:t>[ Indicatori ]</a:t>
          </a:r>
        </a:p>
      </xdr:txBody>
    </xdr:sp>
    <xdr:clientData/>
  </xdr:twoCellAnchor>
  <xdr:twoCellAnchor>
    <xdr:from>
      <xdr:col>43</xdr:col>
      <xdr:colOff>123825</xdr:colOff>
      <xdr:row>20</xdr:row>
      <xdr:rowOff>38100</xdr:rowOff>
    </xdr:from>
    <xdr:to>
      <xdr:col>48</xdr:col>
      <xdr:colOff>209550</xdr:colOff>
      <xdr:row>21</xdr:row>
      <xdr:rowOff>114300</xdr:rowOff>
    </xdr:to>
    <xdr:sp macro="" textlink="">
      <xdr:nvSpPr>
        <xdr:cNvPr id="27" name="Text Box 17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9658350" y="3857625"/>
          <a:ext cx="1114425" cy="2857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t" upright="1"/>
        <a:lstStyle/>
        <a:p>
          <a:pPr algn="ctr" rtl="0">
            <a:defRPr sz="1000"/>
          </a:pPr>
          <a:r>
            <a:rPr lang="it-IT" sz="1200" b="1" i="0" strike="noStrike">
              <a:solidFill>
                <a:srgbClr val="333399"/>
              </a:solidFill>
              <a:latin typeface="Calibri"/>
            </a:rPr>
            <a:t>[ Localizzazione ]</a:t>
          </a:r>
        </a:p>
      </xdr:txBody>
    </xdr:sp>
    <xdr:clientData/>
  </xdr:twoCellAnchor>
  <xdr:twoCellAnchor>
    <xdr:from>
      <xdr:col>44</xdr:col>
      <xdr:colOff>0</xdr:colOff>
      <xdr:row>5</xdr:row>
      <xdr:rowOff>38100</xdr:rowOff>
    </xdr:from>
    <xdr:to>
      <xdr:col>51</xdr:col>
      <xdr:colOff>371475</xdr:colOff>
      <xdr:row>6</xdr:row>
      <xdr:rowOff>114300</xdr:rowOff>
    </xdr:to>
    <xdr:sp macro="" textlink="">
      <xdr:nvSpPr>
        <xdr:cNvPr id="28" name="Text Box 22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9715500" y="962025"/>
          <a:ext cx="1876425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t" upright="1"/>
        <a:lstStyle/>
        <a:p>
          <a:pPr algn="ctr" rtl="0">
            <a:defRPr sz="1000"/>
          </a:pPr>
          <a:r>
            <a:rPr lang="it-IT" sz="1200" b="1" i="0" strike="noStrike">
              <a:solidFill>
                <a:srgbClr val="333399"/>
              </a:solidFill>
              <a:latin typeface="Calibri"/>
            </a:rPr>
            <a:t>[ Descrizione Investimento ]</a:t>
          </a:r>
        </a:p>
      </xdr:txBody>
    </xdr:sp>
    <xdr:clientData/>
  </xdr:twoCellAnchor>
  <xdr:twoCellAnchor editAs="oneCell">
    <xdr:from>
      <xdr:col>48</xdr:col>
      <xdr:colOff>87000</xdr:colOff>
      <xdr:row>47</xdr:row>
      <xdr:rowOff>105835</xdr:rowOff>
    </xdr:from>
    <xdr:to>
      <xdr:col>59</xdr:col>
      <xdr:colOff>167527</xdr:colOff>
      <xdr:row>50</xdr:row>
      <xdr:rowOff>137585</xdr:rowOff>
    </xdr:to>
    <xdr:pic>
      <xdr:nvPicPr>
        <xdr:cNvPr id="29" name="Immagin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13750" y="9323918"/>
          <a:ext cx="2525277" cy="603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0</xdr:row>
      <xdr:rowOff>333375</xdr:rowOff>
    </xdr:from>
    <xdr:to>
      <xdr:col>5</xdr:col>
      <xdr:colOff>1687077</xdr:colOff>
      <xdr:row>1</xdr:row>
      <xdr:rowOff>323379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8EC71443-7872-4334-BF29-98A409577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0" y="333375"/>
          <a:ext cx="1353702" cy="323379"/>
        </a:xfrm>
        <a:prstGeom prst="rect">
          <a:avLst/>
        </a:prstGeom>
      </xdr:spPr>
    </xdr:pic>
    <xdr:clientData/>
  </xdr:twoCellAnchor>
  <xdr:twoCellAnchor editAs="oneCell">
    <xdr:from>
      <xdr:col>2</xdr:col>
      <xdr:colOff>390525</xdr:colOff>
      <xdr:row>1</xdr:row>
      <xdr:rowOff>9525</xdr:rowOff>
    </xdr:from>
    <xdr:to>
      <xdr:col>3</xdr:col>
      <xdr:colOff>29727</xdr:colOff>
      <xdr:row>1</xdr:row>
      <xdr:rowOff>332904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AD8DB36-69BA-4217-A72A-55B6DDCAF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0" y="133350"/>
          <a:ext cx="1353702" cy="3233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169333</xdr:colOff>
      <xdr:row>0</xdr:row>
      <xdr:rowOff>119146</xdr:rowOff>
    </xdr:from>
    <xdr:to>
      <xdr:col>41</xdr:col>
      <xdr:colOff>188383</xdr:colOff>
      <xdr:row>1</xdr:row>
      <xdr:rowOff>280458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1333" y="119146"/>
          <a:ext cx="1479550" cy="3518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222249</xdr:colOff>
      <xdr:row>1</xdr:row>
      <xdr:rowOff>2</xdr:rowOff>
    </xdr:from>
    <xdr:to>
      <xdr:col>8</xdr:col>
      <xdr:colOff>410633</xdr:colOff>
      <xdr:row>2</xdr:row>
      <xdr:rowOff>55481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2166" y="190502"/>
          <a:ext cx="1479550" cy="35181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190497</xdr:colOff>
      <xdr:row>0</xdr:row>
      <xdr:rowOff>179916</xdr:rowOff>
    </xdr:from>
    <xdr:to>
      <xdr:col>5</xdr:col>
      <xdr:colOff>423395</xdr:colOff>
      <xdr:row>2</xdr:row>
      <xdr:rowOff>55480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47" y="179916"/>
          <a:ext cx="1524065" cy="36239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148168</xdr:colOff>
      <xdr:row>0</xdr:row>
      <xdr:rowOff>148167</xdr:rowOff>
    </xdr:from>
    <xdr:to>
      <xdr:col>10</xdr:col>
      <xdr:colOff>232899</xdr:colOff>
      <xdr:row>2</xdr:row>
      <xdr:rowOff>23731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1" y="148167"/>
          <a:ext cx="1524065" cy="36239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311147</xdr:colOff>
      <xdr:row>2</xdr:row>
      <xdr:rowOff>137584</xdr:rowOff>
    </xdr:from>
    <xdr:to>
      <xdr:col>4</xdr:col>
      <xdr:colOff>535933</xdr:colOff>
      <xdr:row>4</xdr:row>
      <xdr:rowOff>76649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4A9AAF9C-644E-49CC-8113-1280BFAD3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1314" y="518584"/>
          <a:ext cx="1791119" cy="42589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190497</xdr:colOff>
      <xdr:row>0</xdr:row>
      <xdr:rowOff>179916</xdr:rowOff>
    </xdr:from>
    <xdr:to>
      <xdr:col>5</xdr:col>
      <xdr:colOff>423395</xdr:colOff>
      <xdr:row>2</xdr:row>
      <xdr:rowOff>55480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596AD9FC-2197-4832-8CEE-B8E8DAEAE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4772" y="179916"/>
          <a:ext cx="1528298" cy="36133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148168</xdr:colOff>
      <xdr:row>0</xdr:row>
      <xdr:rowOff>148167</xdr:rowOff>
    </xdr:from>
    <xdr:to>
      <xdr:col>10</xdr:col>
      <xdr:colOff>232899</xdr:colOff>
      <xdr:row>2</xdr:row>
      <xdr:rowOff>23731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7476AD3F-E031-4817-9A61-0D489D7D9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7193" y="148167"/>
          <a:ext cx="1513481" cy="36133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311147</xdr:colOff>
      <xdr:row>2</xdr:row>
      <xdr:rowOff>137584</xdr:rowOff>
    </xdr:from>
    <xdr:to>
      <xdr:col>4</xdr:col>
      <xdr:colOff>535933</xdr:colOff>
      <xdr:row>4</xdr:row>
      <xdr:rowOff>76649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DD991FBB-77BD-4AAE-845A-8FEB9D795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9197" y="518584"/>
          <a:ext cx="1786886" cy="42484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1057529</xdr:colOff>
      <xdr:row>3</xdr:row>
      <xdr:rowOff>123092</xdr:rowOff>
    </xdr:from>
    <xdr:to>
      <xdr:col>9</xdr:col>
      <xdr:colOff>1898822</xdr:colOff>
      <xdr:row>32</xdr:row>
      <xdr:rowOff>52676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54CAED62-4E96-BF78-2369-F9C9F1FF1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8344" y="697523"/>
          <a:ext cx="6820063" cy="40678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>
    <tabColor theme="6" tint="-0.249977111117893"/>
  </sheetPr>
  <dimension ref="A1:S104"/>
  <sheetViews>
    <sheetView topLeftCell="I3" zoomScale="85" zoomScaleNormal="85" workbookViewId="0">
      <selection activeCell="J29" sqref="J29"/>
    </sheetView>
  </sheetViews>
  <sheetFormatPr defaultRowHeight="15" x14ac:dyDescent="0.25"/>
  <cols>
    <col min="1" max="1" width="2.5703125" customWidth="1"/>
    <col min="2" max="2" width="43.42578125" customWidth="1"/>
    <col min="3" max="3" width="22" customWidth="1"/>
    <col min="4" max="4" width="18.7109375" bestFit="1" customWidth="1"/>
    <col min="6" max="6" width="11" bestFit="1" customWidth="1"/>
    <col min="8" max="8" width="49.28515625" customWidth="1"/>
    <col min="9" max="9" width="21.85546875" bestFit="1" customWidth="1"/>
    <col min="10" max="10" width="19.42578125" customWidth="1"/>
    <col min="11" max="11" width="13.5703125" customWidth="1"/>
    <col min="12" max="12" width="11.85546875" customWidth="1"/>
    <col min="13" max="13" width="15.28515625" customWidth="1"/>
    <col min="14" max="14" width="11.5703125" customWidth="1"/>
    <col min="15" max="16" width="13.5703125" bestFit="1" customWidth="1"/>
    <col min="17" max="17" width="16" customWidth="1"/>
    <col min="18" max="18" width="14.42578125" customWidth="1"/>
  </cols>
  <sheetData>
    <row r="1" spans="1:19" ht="15.75" x14ac:dyDescent="0.25">
      <c r="A1" s="138"/>
      <c r="B1" s="138"/>
      <c r="C1" s="138"/>
      <c r="D1" s="138"/>
      <c r="E1" s="138"/>
      <c r="F1" s="138"/>
      <c r="G1" s="138"/>
      <c r="H1" s="138"/>
      <c r="I1" s="140"/>
      <c r="J1" s="141"/>
      <c r="L1" s="138"/>
      <c r="M1" s="138"/>
      <c r="N1" s="138"/>
      <c r="O1" s="138"/>
      <c r="P1" s="138"/>
      <c r="Q1" s="138"/>
      <c r="R1" s="138"/>
      <c r="S1" s="138"/>
    </row>
    <row r="2" spans="1:19" ht="25.5" x14ac:dyDescent="0.35">
      <c r="A2" s="138"/>
      <c r="B2" s="5" t="s">
        <v>0</v>
      </c>
      <c r="C2" s="6"/>
      <c r="D2" s="6"/>
      <c r="E2" s="6"/>
      <c r="F2" s="6"/>
      <c r="G2" s="6"/>
      <c r="H2" s="6"/>
      <c r="I2" s="7"/>
      <c r="J2" s="8"/>
      <c r="K2" s="9"/>
      <c r="L2" s="9"/>
      <c r="M2" s="9"/>
      <c r="N2" s="9"/>
      <c r="O2" s="9"/>
      <c r="P2" s="9"/>
      <c r="Q2" s="9"/>
      <c r="R2" s="9"/>
      <c r="S2" s="138"/>
    </row>
    <row r="3" spans="1:19" ht="16.5" thickBot="1" x14ac:dyDescent="0.3">
      <c r="A3" s="138"/>
      <c r="B3" s="1"/>
      <c r="C3" s="1"/>
      <c r="D3" s="1"/>
      <c r="E3" s="1"/>
      <c r="F3" s="1"/>
      <c r="G3" s="1"/>
      <c r="H3" s="1"/>
      <c r="I3" s="2" t="s">
        <v>542</v>
      </c>
      <c r="J3" s="3"/>
      <c r="K3" s="4"/>
      <c r="L3" s="1"/>
      <c r="M3" s="1"/>
      <c r="N3" s="1"/>
      <c r="O3" s="1"/>
      <c r="P3" s="1"/>
      <c r="Q3" s="1"/>
      <c r="R3" s="1"/>
      <c r="S3" s="138"/>
    </row>
    <row r="4" spans="1:19" ht="15.75" x14ac:dyDescent="0.25">
      <c r="A4" s="139"/>
      <c r="B4" s="11" t="s">
        <v>1</v>
      </c>
      <c r="C4" s="229" t="s">
        <v>290</v>
      </c>
      <c r="D4" s="12"/>
      <c r="E4" s="10"/>
      <c r="F4" s="10"/>
      <c r="G4" s="10"/>
      <c r="H4" s="290" t="s">
        <v>2</v>
      </c>
      <c r="I4" s="468" t="s">
        <v>295</v>
      </c>
      <c r="J4" s="1"/>
      <c r="K4" s="1"/>
      <c r="L4" s="1"/>
      <c r="M4" s="1"/>
      <c r="N4" s="10"/>
      <c r="O4" s="10"/>
      <c r="P4" s="10"/>
      <c r="Q4" s="10"/>
      <c r="R4" s="10"/>
      <c r="S4" s="138"/>
    </row>
    <row r="5" spans="1:19" ht="15.75" x14ac:dyDescent="0.25">
      <c r="A5" s="139"/>
      <c r="B5" s="11" t="s">
        <v>3</v>
      </c>
      <c r="C5" s="13" t="s">
        <v>4</v>
      </c>
      <c r="D5" s="10"/>
      <c r="E5" s="10"/>
      <c r="F5" s="10"/>
      <c r="G5" s="10"/>
      <c r="H5" s="426" t="s">
        <v>5</v>
      </c>
      <c r="I5" s="469">
        <f>C16*C18</f>
        <v>183534.63616000002</v>
      </c>
      <c r="J5" s="1"/>
      <c r="K5" s="1"/>
      <c r="L5" s="1"/>
      <c r="M5" s="1"/>
      <c r="N5" s="10"/>
      <c r="O5" s="10"/>
      <c r="P5" s="10"/>
      <c r="Q5" s="10"/>
      <c r="R5" s="10"/>
      <c r="S5" s="138"/>
    </row>
    <row r="6" spans="1:19" ht="30" x14ac:dyDescent="0.25">
      <c r="A6" s="139"/>
      <c r="B6" s="10"/>
      <c r="C6" s="10"/>
      <c r="D6" s="10"/>
      <c r="E6" s="10"/>
      <c r="F6" s="10" t="s">
        <v>6</v>
      </c>
      <c r="G6" s="10"/>
      <c r="H6" s="426" t="s">
        <v>298</v>
      </c>
      <c r="I6" s="469">
        <f>C22*C15</f>
        <v>187023</v>
      </c>
      <c r="J6" s="305"/>
      <c r="K6" s="1"/>
      <c r="L6" s="1"/>
      <c r="M6" s="1"/>
      <c r="N6" s="10"/>
      <c r="O6" s="10"/>
      <c r="P6" s="10"/>
      <c r="Q6" s="10"/>
      <c r="R6" s="10"/>
      <c r="S6" s="138"/>
    </row>
    <row r="7" spans="1:19" ht="36" customHeight="1" x14ac:dyDescent="0.25">
      <c r="A7" s="139"/>
      <c r="B7" s="14" t="s">
        <v>7</v>
      </c>
      <c r="C7" s="15">
        <v>46079</v>
      </c>
      <c r="D7" s="10"/>
      <c r="E7" s="10"/>
      <c r="F7" s="10"/>
      <c r="G7" s="10"/>
      <c r="H7" s="426" t="s">
        <v>299</v>
      </c>
      <c r="I7" s="469">
        <f>D15*60</f>
        <v>19860</v>
      </c>
      <c r="J7" s="1"/>
      <c r="K7" s="1"/>
      <c r="L7" s="436"/>
      <c r="N7" s="1"/>
      <c r="O7" s="10"/>
      <c r="P7" s="10"/>
      <c r="Q7" s="10"/>
      <c r="R7" s="10"/>
      <c r="S7" s="138"/>
    </row>
    <row r="8" spans="1:19" ht="36" customHeight="1" x14ac:dyDescent="0.25">
      <c r="A8" s="139"/>
      <c r="B8" s="14"/>
      <c r="C8" s="15"/>
      <c r="D8" s="10"/>
      <c r="E8" s="10"/>
      <c r="F8" s="10"/>
      <c r="G8" s="10"/>
      <c r="H8" s="426" t="s">
        <v>543</v>
      </c>
      <c r="I8" s="469">
        <v>40000</v>
      </c>
      <c r="J8" s="1"/>
      <c r="K8" s="305"/>
      <c r="L8" s="436"/>
      <c r="N8" s="1"/>
      <c r="O8" s="10"/>
      <c r="P8" s="10"/>
      <c r="Q8" s="10"/>
      <c r="R8" s="10"/>
      <c r="S8" s="138"/>
    </row>
    <row r="9" spans="1:19" ht="15.75" x14ac:dyDescent="0.25">
      <c r="A9" s="139"/>
      <c r="B9" s="14"/>
      <c r="C9" s="15"/>
      <c r="D9" s="10"/>
      <c r="E9" s="10"/>
      <c r="F9" s="10"/>
      <c r="G9" s="10"/>
      <c r="H9" s="426" t="s">
        <v>503</v>
      </c>
      <c r="I9" s="469">
        <v>60000</v>
      </c>
      <c r="J9" s="1"/>
      <c r="K9" s="1"/>
      <c r="L9" s="436"/>
      <c r="N9" s="1"/>
      <c r="O9" s="10"/>
      <c r="P9" s="10"/>
      <c r="Q9" s="10"/>
      <c r="R9" s="10"/>
      <c r="S9" s="138"/>
    </row>
    <row r="10" spans="1:19" ht="30" x14ac:dyDescent="0.25">
      <c r="A10" s="139"/>
      <c r="B10" s="14" t="s">
        <v>9</v>
      </c>
      <c r="C10" s="15" t="s">
        <v>10</v>
      </c>
      <c r="D10" s="10"/>
      <c r="E10" s="10"/>
      <c r="F10" s="10"/>
      <c r="G10" s="10"/>
      <c r="H10" s="426" t="s">
        <v>8</v>
      </c>
      <c r="I10" s="469">
        <f>-PMT(C42,C47,I44)</f>
        <v>363630.46276331536</v>
      </c>
      <c r="J10" s="1"/>
      <c r="K10" s="18"/>
      <c r="L10" s="1"/>
      <c r="M10" s="1"/>
      <c r="N10" s="10"/>
      <c r="O10" s="10" t="s">
        <v>12</v>
      </c>
      <c r="P10" s="10"/>
      <c r="Q10" s="10"/>
      <c r="R10" s="10"/>
      <c r="S10" s="138"/>
    </row>
    <row r="11" spans="1:19" ht="16.5" thickBot="1" x14ac:dyDescent="0.3">
      <c r="A11" s="139"/>
      <c r="B11" s="14" t="s">
        <v>13</v>
      </c>
      <c r="C11" s="15" t="s">
        <v>10</v>
      </c>
      <c r="D11" s="10"/>
      <c r="E11" s="10"/>
      <c r="F11" s="10"/>
      <c r="G11" s="10"/>
      <c r="H11" s="17" t="s">
        <v>11</v>
      </c>
      <c r="I11" s="469">
        <f>SUM(I5:I10)</f>
        <v>854048.09892331529</v>
      </c>
      <c r="J11" s="305"/>
      <c r="K11" s="18"/>
      <c r="L11" s="1"/>
      <c r="M11" s="1"/>
      <c r="N11" s="10"/>
      <c r="O11" s="10"/>
      <c r="P11" s="10"/>
      <c r="Q11" s="10"/>
      <c r="R11" s="10"/>
      <c r="S11" s="138"/>
    </row>
    <row r="12" spans="1:19" ht="16.5" thickBot="1" x14ac:dyDescent="0.3">
      <c r="A12" s="139"/>
      <c r="B12" s="4"/>
      <c r="C12" s="4"/>
      <c r="D12" s="20"/>
      <c r="E12" s="10"/>
      <c r="F12" s="10"/>
      <c r="G12" s="10"/>
      <c r="H12" s="417"/>
      <c r="I12" s="470"/>
      <c r="J12" s="1"/>
      <c r="K12" s="1"/>
      <c r="L12" s="1"/>
      <c r="M12" s="305"/>
      <c r="N12" s="10"/>
      <c r="O12" s="10"/>
      <c r="P12" s="10"/>
      <c r="Q12" s="10"/>
      <c r="R12" s="10"/>
      <c r="S12" s="138"/>
    </row>
    <row r="13" spans="1:19" ht="51.75" thickBot="1" x14ac:dyDescent="0.3">
      <c r="A13" s="139"/>
      <c r="B13" s="678" t="s">
        <v>14</v>
      </c>
      <c r="C13" s="679" t="s">
        <v>296</v>
      </c>
      <c r="D13" s="679" t="s">
        <v>297</v>
      </c>
      <c r="E13" s="10"/>
      <c r="F13" s="10"/>
      <c r="G13" s="10"/>
      <c r="H13" s="1"/>
      <c r="I13" s="690" t="s">
        <v>546</v>
      </c>
      <c r="J13" s="697" t="s">
        <v>547</v>
      </c>
      <c r="K13" s="23"/>
      <c r="L13" s="291"/>
      <c r="M13" s="305"/>
      <c r="N13" s="10"/>
      <c r="O13" s="10"/>
      <c r="P13" s="10"/>
      <c r="Q13" s="10"/>
      <c r="R13" s="10"/>
      <c r="S13" s="138"/>
    </row>
    <row r="14" spans="1:19" ht="15.75" x14ac:dyDescent="0.25">
      <c r="A14" s="139"/>
      <c r="B14" s="21" t="s">
        <v>16</v>
      </c>
      <c r="C14" s="683">
        <v>5987</v>
      </c>
      <c r="D14" s="684">
        <v>331</v>
      </c>
      <c r="E14" s="10"/>
      <c r="F14" s="10"/>
      <c r="G14" s="10"/>
      <c r="H14" s="21" t="s">
        <v>15</v>
      </c>
      <c r="I14" s="691">
        <f>'RF VAL_INV opz1'!C15</f>
        <v>33936.802541605197</v>
      </c>
      <c r="J14" s="691">
        <f>'RF VAL_INV opz2'!C15</f>
        <v>11362.223348045722</v>
      </c>
      <c r="K14" s="22"/>
      <c r="L14" s="292"/>
      <c r="M14" s="305"/>
      <c r="N14" s="10"/>
      <c r="O14" s="10"/>
      <c r="P14" s="10"/>
      <c r="Q14" s="10"/>
      <c r="R14" s="10"/>
      <c r="S14" s="138"/>
    </row>
    <row r="15" spans="1:19" ht="16.5" thickBot="1" x14ac:dyDescent="0.3">
      <c r="A15" s="139"/>
      <c r="B15" s="685" t="s">
        <v>18</v>
      </c>
      <c r="C15" s="686">
        <v>6033</v>
      </c>
      <c r="D15" s="687">
        <v>331</v>
      </c>
      <c r="E15" s="28"/>
      <c r="F15" s="10"/>
      <c r="G15" s="10"/>
      <c r="H15" s="25" t="s">
        <v>17</v>
      </c>
      <c r="I15" s="692">
        <f>'RF VAL_INV opz1'!C16</f>
        <v>5.0486187016911988E-2</v>
      </c>
      <c r="J15" s="692">
        <f>'RF VAL_INV opz2'!C16</f>
        <v>5.0029921077795025E-2</v>
      </c>
      <c r="K15" s="22"/>
      <c r="L15" s="291"/>
      <c r="M15" s="305"/>
      <c r="N15" s="10"/>
      <c r="O15" s="10"/>
      <c r="P15" s="10"/>
      <c r="Q15" s="10"/>
      <c r="R15" s="10"/>
      <c r="S15" s="138"/>
    </row>
    <row r="16" spans="1:19" ht="15.75" x14ac:dyDescent="0.25">
      <c r="A16" s="139"/>
      <c r="B16" s="680" t="s">
        <v>20</v>
      </c>
      <c r="C16" s="681">
        <v>0.22600000000000001</v>
      </c>
      <c r="D16" s="682">
        <f>C16-0.001</f>
        <v>0.22500000000000001</v>
      </c>
      <c r="E16" s="10"/>
      <c r="F16" s="10"/>
      <c r="G16" s="10"/>
      <c r="H16" s="25" t="s">
        <v>19</v>
      </c>
      <c r="I16" s="693">
        <f>'RF VAL_INV opz1'!C34</f>
        <v>91800.796805752208</v>
      </c>
      <c r="J16" s="693">
        <f>'RF VAL_INV opz2'!C34</f>
        <v>73280.879440949764</v>
      </c>
      <c r="K16" s="22"/>
      <c r="L16" s="292"/>
      <c r="M16" s="1"/>
      <c r="N16" s="10"/>
      <c r="O16" s="10"/>
      <c r="P16" s="10"/>
      <c r="Q16" s="10"/>
      <c r="R16" s="10"/>
      <c r="S16" s="138"/>
    </row>
    <row r="17" spans="1:19" ht="15.75" x14ac:dyDescent="0.25">
      <c r="A17" s="139"/>
      <c r="B17" s="26" t="s">
        <v>22</v>
      </c>
      <c r="C17" s="24">
        <v>3448385.79</v>
      </c>
      <c r="D17" s="27">
        <f>C17/4200/$C$14*1000</f>
        <v>137.1378379345725</v>
      </c>
      <c r="E17" s="10"/>
      <c r="F17" s="28"/>
      <c r="G17" s="10"/>
      <c r="H17" s="25" t="s">
        <v>21</v>
      </c>
      <c r="I17" s="692">
        <f>'RF VAL_INV opz1'!C35</f>
        <v>7.4180324118491736E-2</v>
      </c>
      <c r="J17" s="692">
        <f>'RF VAL_INV opz2'!C35</f>
        <v>7.3390158199526212E-2</v>
      </c>
      <c r="K17" s="279"/>
      <c r="L17" s="293"/>
      <c r="M17" s="1"/>
      <c r="N17" s="10"/>
      <c r="O17" s="10"/>
      <c r="P17" s="10"/>
      <c r="Q17" s="10"/>
      <c r="R17" s="10"/>
      <c r="S17" s="138"/>
    </row>
    <row r="18" spans="1:19" ht="15.75" x14ac:dyDescent="0.25">
      <c r="A18" s="139"/>
      <c r="B18" s="30" t="s">
        <v>24</v>
      </c>
      <c r="C18" s="24">
        <v>812100.16</v>
      </c>
      <c r="D18" s="27">
        <f>C18/4200/$C$15*1000</f>
        <v>32.049922253005299</v>
      </c>
      <c r="E18" s="10"/>
      <c r="F18" s="28"/>
      <c r="G18" s="10"/>
      <c r="H18" s="25" t="s">
        <v>23</v>
      </c>
      <c r="I18" s="694">
        <f>'RF VAL_INV opz1'!C57</f>
        <v>2.5264317806683185</v>
      </c>
      <c r="J18" s="694">
        <f>'RF VAL_INV opz2'!C57</f>
        <v>2.5160770172508267</v>
      </c>
      <c r="K18" s="18"/>
      <c r="L18" s="293"/>
      <c r="M18" s="1"/>
      <c r="N18" s="10"/>
      <c r="O18" s="10" t="s">
        <v>26</v>
      </c>
      <c r="P18" s="10"/>
      <c r="Q18" s="10"/>
      <c r="R18" s="10"/>
      <c r="S18" s="138"/>
    </row>
    <row r="19" spans="1:19" ht="15.75" x14ac:dyDescent="0.25">
      <c r="A19" s="139"/>
      <c r="B19" s="31"/>
      <c r="C19" s="437"/>
      <c r="D19" s="1"/>
      <c r="E19" s="10"/>
      <c r="F19" s="10"/>
      <c r="G19" s="10"/>
      <c r="H19" s="25" t="s">
        <v>25</v>
      </c>
      <c r="I19" s="694">
        <f>'RF VAL_INV opz1'!C58</f>
        <v>1.9733324280958868</v>
      </c>
      <c r="J19" s="694">
        <f>'RF VAL_INV opz2'!C58</f>
        <v>1.9651557515708908</v>
      </c>
      <c r="K19" s="10"/>
      <c r="L19" s="1"/>
      <c r="M19" s="1"/>
      <c r="N19" s="1"/>
      <c r="O19" s="1"/>
      <c r="P19" s="1"/>
      <c r="Q19" s="10"/>
      <c r="R19" s="10"/>
      <c r="S19" s="138"/>
    </row>
    <row r="20" spans="1:19" ht="15.75" x14ac:dyDescent="0.25">
      <c r="A20" s="139"/>
      <c r="B20" s="10"/>
      <c r="C20" s="10"/>
      <c r="D20" s="10"/>
      <c r="E20" s="10"/>
      <c r="F20" s="438"/>
      <c r="G20" s="10"/>
      <c r="H20" s="25" t="s">
        <v>27</v>
      </c>
      <c r="I20" s="695">
        <f>'RF VAL_INV opz1'!C40</f>
        <v>23</v>
      </c>
      <c r="J20" s="695">
        <f>'RF VAL_INV opz2'!C40</f>
        <v>24</v>
      </c>
      <c r="K20" s="1"/>
      <c r="L20" s="1"/>
      <c r="M20" s="1"/>
      <c r="N20" s="1"/>
      <c r="O20" s="1"/>
      <c r="P20" s="1"/>
      <c r="Q20" s="10"/>
      <c r="R20" s="10"/>
      <c r="S20" s="138"/>
    </row>
    <row r="21" spans="1:19" ht="16.5" thickBot="1" x14ac:dyDescent="0.3">
      <c r="A21" s="139"/>
      <c r="B21" s="31"/>
      <c r="C21" s="32"/>
      <c r="D21" s="1"/>
      <c r="E21" s="10"/>
      <c r="F21" s="10"/>
      <c r="G21" s="10"/>
      <c r="H21" s="343" t="s">
        <v>28</v>
      </c>
      <c r="I21" s="696">
        <f>'RF VAL_INV opz1'!C41</f>
        <v>15</v>
      </c>
      <c r="J21" s="696">
        <f>'RF VAL_INV opz2'!C41</f>
        <v>15</v>
      </c>
      <c r="K21" s="1"/>
      <c r="L21" s="1"/>
      <c r="M21" s="1"/>
      <c r="N21" s="1"/>
      <c r="O21" s="1"/>
      <c r="P21" s="1"/>
      <c r="Q21" s="10"/>
      <c r="R21" s="10"/>
      <c r="S21" s="138"/>
    </row>
    <row r="22" spans="1:19" ht="15.75" customHeight="1" x14ac:dyDescent="0.25">
      <c r="A22" s="139"/>
      <c r="B22" s="395" t="s">
        <v>29</v>
      </c>
      <c r="C22" s="427">
        <v>31</v>
      </c>
      <c r="D22" s="10"/>
      <c r="E22" s="10"/>
      <c r="F22" s="10"/>
      <c r="G22" s="10"/>
      <c r="H22" s="394"/>
      <c r="I22" s="39"/>
      <c r="J22" s="1"/>
      <c r="K22" s="1"/>
      <c r="L22" s="1"/>
      <c r="M22" s="1"/>
      <c r="N22" s="1"/>
      <c r="O22" s="1"/>
      <c r="P22" s="1"/>
      <c r="Q22" s="10"/>
      <c r="R22" s="10"/>
      <c r="S22" s="138"/>
    </row>
    <row r="23" spans="1:19" ht="15.75" x14ac:dyDescent="0.25">
      <c r="A23" s="139"/>
      <c r="B23" s="1"/>
      <c r="C23" s="1"/>
      <c r="D23" s="10"/>
      <c r="E23" s="10"/>
      <c r="F23" s="10"/>
      <c r="G23" s="10"/>
      <c r="H23" s="1"/>
      <c r="I23" s="1"/>
      <c r="J23" s="1"/>
      <c r="K23" s="30" t="s">
        <v>32</v>
      </c>
      <c r="L23" s="30" t="s">
        <v>33</v>
      </c>
      <c r="M23" s="30" t="s">
        <v>34</v>
      </c>
      <c r="N23" s="10"/>
      <c r="O23" s="10"/>
      <c r="P23" s="10"/>
      <c r="Q23" s="10"/>
      <c r="R23" s="10"/>
      <c r="S23" s="138"/>
    </row>
    <row r="24" spans="1:19" ht="15.75" x14ac:dyDescent="0.25">
      <c r="A24" s="139"/>
      <c r="B24" s="33"/>
      <c r="C24" s="33"/>
      <c r="D24" s="33"/>
      <c r="E24" s="10"/>
      <c r="F24" s="10"/>
      <c r="G24" s="10"/>
      <c r="H24" s="1"/>
      <c r="I24" s="30" t="s">
        <v>30</v>
      </c>
      <c r="J24" s="30" t="s">
        <v>31</v>
      </c>
      <c r="K24" s="14" t="e">
        <f>J25-I25</f>
        <v>#VALUE!</v>
      </c>
      <c r="L24" s="285" t="e">
        <f>ROUND(K24/(365/12),2)</f>
        <v>#VALUE!</v>
      </c>
      <c r="M24" s="285" t="e">
        <f>ROUND(K24/365,2)</f>
        <v>#VALUE!</v>
      </c>
      <c r="N24" s="10"/>
      <c r="O24" s="10"/>
      <c r="P24" s="10"/>
      <c r="Q24" s="10"/>
      <c r="R24" s="10"/>
      <c r="S24" s="138"/>
    </row>
    <row r="25" spans="1:19" ht="15.75" x14ac:dyDescent="0.25">
      <c r="A25" s="139"/>
      <c r="B25" s="1"/>
      <c r="C25" s="1" t="s">
        <v>541</v>
      </c>
      <c r="D25" s="33"/>
      <c r="E25" s="10"/>
      <c r="F25" s="10"/>
      <c r="G25" s="10"/>
      <c r="H25" s="14" t="s">
        <v>35</v>
      </c>
      <c r="I25" s="848" t="s">
        <v>549</v>
      </c>
      <c r="J25" s="848" t="s">
        <v>550</v>
      </c>
      <c r="K25" s="14">
        <f>J26-I26</f>
        <v>27</v>
      </c>
      <c r="L25" s="285">
        <f t="shared" ref="L25:L28" si="0">ROUND(K25/(365/12),2)</f>
        <v>0.89</v>
      </c>
      <c r="M25" s="285">
        <f t="shared" ref="M25:M28" si="1">ROUND(K25/365,2)</f>
        <v>7.0000000000000007E-2</v>
      </c>
      <c r="N25" s="10"/>
      <c r="O25" s="10"/>
      <c r="P25" s="10"/>
      <c r="Q25" s="10"/>
      <c r="R25" s="10"/>
      <c r="S25" s="138"/>
    </row>
    <row r="26" spans="1:19" ht="15.75" x14ac:dyDescent="0.25">
      <c r="A26" s="139"/>
      <c r="B26" s="30" t="s">
        <v>353</v>
      </c>
      <c r="C26" s="471">
        <f>'Riepilogo Servizio'!D16</f>
        <v>53015.85</v>
      </c>
      <c r="D26" s="646">
        <f>C26/($C$15+$D$15)</f>
        <v>8.3305861093651785</v>
      </c>
      <c r="E26" s="35"/>
      <c r="F26" s="10"/>
      <c r="G26" s="10"/>
      <c r="H26" s="14" t="s">
        <v>300</v>
      </c>
      <c r="I26" s="848" t="s">
        <v>551</v>
      </c>
      <c r="J26" s="848" t="s">
        <v>552</v>
      </c>
      <c r="K26" s="14">
        <f>J27-I27</f>
        <v>274</v>
      </c>
      <c r="L26" s="285">
        <f t="shared" si="0"/>
        <v>9.01</v>
      </c>
      <c r="M26" s="285">
        <f t="shared" si="1"/>
        <v>0.75</v>
      </c>
      <c r="N26" s="10"/>
      <c r="O26" s="10"/>
      <c r="P26" s="10"/>
      <c r="Q26" s="10"/>
      <c r="R26" s="10"/>
      <c r="S26" s="138"/>
    </row>
    <row r="27" spans="1:19" ht="15.75" x14ac:dyDescent="0.25">
      <c r="A27" s="139"/>
      <c r="B27" s="30" t="s">
        <v>360</v>
      </c>
      <c r="C27" s="471">
        <f>'Riepilogo Servizio'!F16</f>
        <v>17372.355</v>
      </c>
      <c r="D27" s="646">
        <f t="shared" ref="D27:D39" si="2">C27/($C$15+$D$15)</f>
        <v>2.7297855122564423</v>
      </c>
      <c r="E27" s="35"/>
      <c r="F27" s="10"/>
      <c r="G27" s="10"/>
      <c r="H27" s="14" t="s">
        <v>36</v>
      </c>
      <c r="I27" s="848" t="s">
        <v>553</v>
      </c>
      <c r="J27" s="848" t="s">
        <v>555</v>
      </c>
      <c r="K27" s="14">
        <f>J28-I28</f>
        <v>30</v>
      </c>
      <c r="L27" s="285">
        <f t="shared" si="0"/>
        <v>0.99</v>
      </c>
      <c r="M27" s="285">
        <f t="shared" si="1"/>
        <v>0.08</v>
      </c>
      <c r="N27" s="10"/>
      <c r="O27" s="10"/>
      <c r="P27" s="10"/>
      <c r="Q27" s="10"/>
      <c r="R27" s="10"/>
      <c r="S27" s="138"/>
    </row>
    <row r="28" spans="1:19" ht="15.75" x14ac:dyDescent="0.25">
      <c r="A28" s="139"/>
      <c r="B28" s="30" t="s">
        <v>354</v>
      </c>
      <c r="C28" s="471">
        <f>'Riepilogo Servizio'!G21</f>
        <v>7234.9199999999992</v>
      </c>
      <c r="D28" s="646">
        <f t="shared" si="2"/>
        <v>1.1368510370835951</v>
      </c>
      <c r="E28" s="35"/>
      <c r="F28" s="10"/>
      <c r="G28" s="10"/>
      <c r="H28" s="14" t="s">
        <v>37</v>
      </c>
      <c r="I28" s="848" t="s">
        <v>554</v>
      </c>
      <c r="J28" s="848" t="s">
        <v>556</v>
      </c>
      <c r="K28" s="14" t="e">
        <f>SUM(K24:K27)</f>
        <v>#VALUE!</v>
      </c>
      <c r="L28" s="285" t="e">
        <f t="shared" si="0"/>
        <v>#VALUE!</v>
      </c>
      <c r="M28" s="285" t="e">
        <f t="shared" si="1"/>
        <v>#VALUE!</v>
      </c>
      <c r="N28" s="10"/>
      <c r="O28" s="10"/>
      <c r="P28" s="10"/>
      <c r="Q28" s="10"/>
      <c r="R28" s="10"/>
      <c r="S28" s="138"/>
    </row>
    <row r="29" spans="1:19" ht="15.75" x14ac:dyDescent="0.25">
      <c r="A29" s="139"/>
      <c r="B29" s="30" t="s">
        <v>355</v>
      </c>
      <c r="C29" s="471">
        <f>'Riepilogo Servizio'!G25</f>
        <v>5751.45</v>
      </c>
      <c r="D29" s="646">
        <f t="shared" si="2"/>
        <v>0.90374764299182897</v>
      </c>
      <c r="E29" s="10"/>
      <c r="F29" s="10"/>
      <c r="G29" s="10"/>
      <c r="H29" s="36" t="s">
        <v>39</v>
      </c>
      <c r="I29" s="10"/>
      <c r="J29" s="37" t="s">
        <v>11</v>
      </c>
      <c r="K29" s="39"/>
      <c r="L29" s="40" t="s">
        <v>42</v>
      </c>
      <c r="M29" s="286">
        <f>C49</f>
        <v>1</v>
      </c>
      <c r="N29" s="41"/>
      <c r="O29" s="10"/>
      <c r="P29" s="10"/>
      <c r="Q29" s="10"/>
      <c r="R29" s="10"/>
      <c r="S29" s="138"/>
    </row>
    <row r="30" spans="1:19" ht="15.75" x14ac:dyDescent="0.25">
      <c r="A30" s="139"/>
      <c r="B30" s="30" t="s">
        <v>356</v>
      </c>
      <c r="C30" s="471">
        <f>'Riepilogo Servizio'!G26</f>
        <v>2496</v>
      </c>
      <c r="D30" s="646">
        <f t="shared" si="2"/>
        <v>0.39220615964802014</v>
      </c>
      <c r="E30" s="10"/>
      <c r="F30" s="10"/>
      <c r="G30" s="10"/>
      <c r="H30" s="10" t="s">
        <v>41</v>
      </c>
      <c r="I30" s="10"/>
      <c r="J30" s="38"/>
      <c r="K30" s="223"/>
      <c r="L30" s="424"/>
      <c r="M30" s="1"/>
      <c r="N30" s="10"/>
      <c r="O30" s="10"/>
      <c r="P30" s="10"/>
      <c r="Q30" s="10"/>
      <c r="R30" s="10"/>
      <c r="S30" s="138"/>
    </row>
    <row r="31" spans="1:19" ht="15.75" x14ac:dyDescent="0.25">
      <c r="A31" s="139"/>
      <c r="B31" s="30" t="s">
        <v>357</v>
      </c>
      <c r="C31" s="471">
        <f>'Riepilogo Servizio'!G27</f>
        <v>3118.5</v>
      </c>
      <c r="D31" s="646">
        <f t="shared" si="2"/>
        <v>0.49002199874292895</v>
      </c>
      <c r="E31" s="10"/>
      <c r="F31" s="10"/>
      <c r="G31" s="10"/>
      <c r="H31" s="1"/>
      <c r="I31" s="1"/>
      <c r="J31" s="29"/>
      <c r="K31" s="1"/>
      <c r="L31" s="1"/>
      <c r="M31" s="10"/>
      <c r="N31" s="10"/>
      <c r="O31" s="10"/>
      <c r="P31" s="10"/>
      <c r="Q31" s="10"/>
      <c r="R31" s="10"/>
      <c r="S31" s="138"/>
    </row>
    <row r="32" spans="1:19" ht="15.75" x14ac:dyDescent="0.25">
      <c r="A32" s="139"/>
      <c r="B32" s="30" t="s">
        <v>358</v>
      </c>
      <c r="C32" s="471">
        <f>'Riepilogo Servizio'!G28</f>
        <v>12474</v>
      </c>
      <c r="D32" s="646">
        <f t="shared" si="2"/>
        <v>1.9600879949717158</v>
      </c>
      <c r="E32" s="10"/>
      <c r="F32" s="10"/>
      <c r="G32" s="10"/>
      <c r="H32" s="1"/>
      <c r="I32" s="1"/>
      <c r="J32" s="29"/>
      <c r="K32" s="10"/>
      <c r="M32" s="298"/>
      <c r="N32" s="299"/>
      <c r="O32" s="299"/>
      <c r="P32" s="299"/>
      <c r="Q32" s="299"/>
      <c r="R32" s="10"/>
      <c r="S32" s="138"/>
    </row>
    <row r="33" spans="1:19" ht="15.75" x14ac:dyDescent="0.25">
      <c r="A33" s="139"/>
      <c r="B33" s="30" t="s">
        <v>503</v>
      </c>
      <c r="C33" s="471">
        <v>48000</v>
      </c>
      <c r="D33" s="646">
        <f t="shared" si="2"/>
        <v>7.5424261470773102</v>
      </c>
      <c r="E33" s="10"/>
      <c r="F33" s="10"/>
      <c r="G33" s="10"/>
      <c r="H33" s="1"/>
      <c r="I33" s="1"/>
      <c r="J33" s="1"/>
      <c r="K33" s="10"/>
      <c r="L33" s="294"/>
      <c r="M33" s="300"/>
      <c r="N33" s="301"/>
      <c r="O33" s="301"/>
      <c r="P33" s="301"/>
      <c r="Q33" s="301"/>
      <c r="R33" s="10"/>
      <c r="S33" s="138"/>
    </row>
    <row r="34" spans="1:19" ht="15.75" x14ac:dyDescent="0.25">
      <c r="A34" s="139"/>
      <c r="B34" s="30" t="s">
        <v>359</v>
      </c>
      <c r="C34" s="471">
        <f>'Riepilogo Servizio'!G29</f>
        <v>3118.5</v>
      </c>
      <c r="D34" s="646">
        <f t="shared" si="2"/>
        <v>0.49002199874292895</v>
      </c>
      <c r="E34" s="10"/>
      <c r="F34" s="10"/>
      <c r="G34" s="10"/>
      <c r="H34" s="45" t="s">
        <v>44</v>
      </c>
      <c r="I34" s="46" t="str">
        <f>C4</f>
        <v>Comune di Lodi (LO)</v>
      </c>
      <c r="J34" s="12"/>
      <c r="K34" s="28"/>
      <c r="L34" s="423"/>
      <c r="M34" s="300"/>
      <c r="N34" s="301"/>
      <c r="O34" s="301"/>
      <c r="P34" s="301"/>
      <c r="Q34" s="301"/>
      <c r="R34" s="10"/>
      <c r="S34" s="138"/>
    </row>
    <row r="35" spans="1:19" ht="15.75" x14ac:dyDescent="0.25">
      <c r="A35" s="139"/>
      <c r="B35" s="30" t="s">
        <v>545</v>
      </c>
      <c r="C35" s="471">
        <v>38000</v>
      </c>
      <c r="D35" s="646">
        <f t="shared" si="2"/>
        <v>5.9710873664362039</v>
      </c>
      <c r="E35" s="10"/>
      <c r="F35" s="10"/>
      <c r="G35" s="10"/>
      <c r="H35" s="30" t="s">
        <v>46</v>
      </c>
      <c r="I35" s="307">
        <f>'QUADRO ECONOMICO'!C3</f>
        <v>4982526</v>
      </c>
      <c r="J35" s="47">
        <f>I35/$C$15</f>
        <v>825.87866732968678</v>
      </c>
      <c r="K35" s="28"/>
      <c r="L35" s="423"/>
      <c r="M35" s="300"/>
      <c r="N35" s="301"/>
      <c r="O35" s="301"/>
      <c r="P35" s="301"/>
      <c r="Q35" s="301"/>
      <c r="R35" s="10"/>
      <c r="S35" s="138"/>
    </row>
    <row r="36" spans="1:19" ht="15.75" x14ac:dyDescent="0.25">
      <c r="A36" s="139"/>
      <c r="B36" s="43" t="s">
        <v>498</v>
      </c>
      <c r="C36" s="435">
        <v>0.04</v>
      </c>
      <c r="D36" s="646"/>
      <c r="E36" s="10"/>
      <c r="F36" s="10"/>
      <c r="G36" s="10"/>
      <c r="H36" s="30" t="s">
        <v>48</v>
      </c>
      <c r="I36" s="61">
        <f>'QUADRO ECONOMICO'!C4</f>
        <v>99650.52</v>
      </c>
      <c r="J36" s="49">
        <f>I36/$C$15</f>
        <v>16.517573346593736</v>
      </c>
      <c r="K36" s="28"/>
      <c r="L36" s="423"/>
      <c r="M36" s="300"/>
      <c r="N36" s="301"/>
      <c r="O36" s="301"/>
      <c r="P36" s="301"/>
      <c r="Q36" s="301"/>
      <c r="R36" s="10"/>
      <c r="S36" s="138"/>
    </row>
    <row r="37" spans="1:19" ht="30" customHeight="1" x14ac:dyDescent="0.25">
      <c r="A37" s="139"/>
      <c r="B37" s="43" t="s">
        <v>40</v>
      </c>
      <c r="C37" s="34">
        <v>46830.95</v>
      </c>
      <c r="D37" s="646"/>
      <c r="E37" s="10"/>
      <c r="F37" s="10"/>
      <c r="G37" s="10"/>
      <c r="H37" s="310" t="s">
        <v>50</v>
      </c>
      <c r="I37" s="61">
        <f>'QUADRO ECONOMICO'!C11+'QUADRO ECONOMICO'!C15+'QUADRO ECONOMICO'!C17</f>
        <v>1369346.97</v>
      </c>
      <c r="J37" s="49">
        <f>I37/$C$15</f>
        <v>226.97612630532072</v>
      </c>
      <c r="K37" s="28"/>
      <c r="L37" s="423"/>
      <c r="M37" s="300"/>
      <c r="N37" s="301"/>
      <c r="O37" s="301"/>
      <c r="P37" s="301"/>
      <c r="Q37" s="301"/>
      <c r="R37" s="10"/>
      <c r="S37" s="138"/>
    </row>
    <row r="38" spans="1:19" ht="25.15" customHeight="1" x14ac:dyDescent="0.25">
      <c r="A38" s="139"/>
      <c r="B38" s="30" t="s">
        <v>499</v>
      </c>
      <c r="C38" s="471">
        <f>C37*C36</f>
        <v>1873.2379999999998</v>
      </c>
      <c r="D38" s="646">
        <f t="shared" si="2"/>
        <v>0.29434915147705842</v>
      </c>
      <c r="E38" s="20"/>
      <c r="F38" s="10"/>
      <c r="G38" s="10"/>
      <c r="H38" s="68" t="s">
        <v>51</v>
      </c>
      <c r="I38" s="61">
        <f>'QUADRO ECONOMICO'!C14+'QUADRO ECONOMICO'!C16+'QUADRO ECONOMICO'!C18</f>
        <v>199875.78000000003</v>
      </c>
      <c r="J38" s="49">
        <f>I38/$C$15</f>
        <v>33.130412729985089</v>
      </c>
      <c r="K38" s="10"/>
      <c r="L38" s="294"/>
      <c r="M38" s="300"/>
      <c r="N38" s="301"/>
      <c r="O38" s="301"/>
      <c r="P38" s="301"/>
      <c r="Q38" s="301"/>
      <c r="R38" s="10"/>
      <c r="S38" s="138"/>
    </row>
    <row r="39" spans="1:19" ht="15.75" x14ac:dyDescent="0.25">
      <c r="A39" s="139"/>
      <c r="B39" s="30" t="s">
        <v>497</v>
      </c>
      <c r="C39" s="471">
        <v>5000</v>
      </c>
      <c r="D39" s="646">
        <f t="shared" si="2"/>
        <v>0.78566939032055316</v>
      </c>
      <c r="E39" s="10"/>
      <c r="F39" s="10"/>
      <c r="G39" s="10"/>
      <c r="H39" s="30" t="s">
        <v>54</v>
      </c>
      <c r="I39" s="54">
        <f>SUM(I35:I38)</f>
        <v>6651399.2699999996</v>
      </c>
      <c r="J39" s="49">
        <f>I39/$C$15</f>
        <v>1102.5027797115863</v>
      </c>
      <c r="K39" s="1"/>
      <c r="L39" s="352"/>
      <c r="M39" s="114"/>
      <c r="N39" s="1"/>
      <c r="O39" s="20"/>
      <c r="P39" s="20"/>
      <c r="Q39" s="20"/>
      <c r="R39" s="10"/>
      <c r="S39" s="138"/>
    </row>
    <row r="40" spans="1:19" ht="15.75" x14ac:dyDescent="0.25">
      <c r="A40" s="139"/>
      <c r="B40" s="30" t="s">
        <v>475</v>
      </c>
      <c r="C40" s="471">
        <f>SUM(C26:C34)+C38+C39</f>
        <v>159454.81300000002</v>
      </c>
      <c r="D40" s="646">
        <f>C40/(C15+D15)</f>
        <v>25.055753142677563</v>
      </c>
      <c r="E40" s="10"/>
      <c r="F40" s="10"/>
      <c r="G40" s="10"/>
      <c r="H40" s="4"/>
      <c r="I40" s="4"/>
      <c r="J40" s="4"/>
      <c r="K40" s="1"/>
      <c r="L40" s="1"/>
      <c r="M40" s="1"/>
      <c r="O40" s="10"/>
      <c r="P40" s="10"/>
      <c r="Q40" s="10"/>
      <c r="R40" s="10"/>
      <c r="S40" s="138"/>
    </row>
    <row r="41" spans="1:19" ht="15" customHeight="1" x14ac:dyDescent="0.25">
      <c r="A41" s="10"/>
      <c r="B41" s="4"/>
      <c r="C41" s="4"/>
      <c r="D41" s="1"/>
      <c r="E41" s="10"/>
      <c r="F41" s="10"/>
      <c r="G41" s="10"/>
      <c r="H41" s="4"/>
      <c r="I41" s="4"/>
      <c r="J41" s="295"/>
      <c r="K41" s="10"/>
      <c r="L41" s="10"/>
      <c r="M41" s="10"/>
      <c r="N41" s="10"/>
      <c r="O41" s="10"/>
      <c r="P41" s="10"/>
      <c r="Q41" s="10"/>
      <c r="R41" s="10"/>
      <c r="S41" s="138"/>
    </row>
    <row r="42" spans="1:19" ht="30" x14ac:dyDescent="0.25">
      <c r="A42" s="139"/>
      <c r="B42" s="11" t="s">
        <v>43</v>
      </c>
      <c r="C42" s="44">
        <v>3.9899999999999998E-2</v>
      </c>
      <c r="D42" s="420"/>
      <c r="E42" s="10"/>
      <c r="F42" s="10"/>
      <c r="G42" s="10"/>
      <c r="H42" s="30" t="s">
        <v>58</v>
      </c>
      <c r="I42" s="54">
        <f>(I35/1.265)+I36+I37</f>
        <v>5407753.2212252971</v>
      </c>
      <c r="J42" s="51"/>
      <c r="K42" s="53"/>
      <c r="L42" s="20"/>
      <c r="M42" s="10"/>
      <c r="N42" s="10"/>
      <c r="O42" s="10"/>
      <c r="P42" s="10"/>
      <c r="Q42" s="10"/>
      <c r="R42" s="10"/>
      <c r="S42" s="138"/>
    </row>
    <row r="43" spans="1:19" ht="30" x14ac:dyDescent="0.25">
      <c r="A43" s="139"/>
      <c r="B43" s="11" t="s">
        <v>45</v>
      </c>
      <c r="C43" s="44">
        <v>2.7900000000000001E-2</v>
      </c>
      <c r="D43" s="420"/>
      <c r="E43" s="10"/>
      <c r="F43" s="10"/>
      <c r="G43" s="10"/>
      <c r="H43" s="30" t="s">
        <v>60</v>
      </c>
      <c r="I43" s="54">
        <f>SUM(K57:K60)</f>
        <v>0</v>
      </c>
      <c r="J43" s="51"/>
      <c r="K43" s="10"/>
      <c r="L43" s="20"/>
      <c r="M43" s="10"/>
      <c r="N43" s="10"/>
      <c r="O43" s="10"/>
      <c r="P43" s="10"/>
      <c r="Q43" s="10"/>
      <c r="R43" s="10"/>
      <c r="S43" s="138"/>
    </row>
    <row r="44" spans="1:19" ht="45" x14ac:dyDescent="0.25">
      <c r="A44" s="139"/>
      <c r="B44" s="11" t="s">
        <v>47</v>
      </c>
      <c r="C44" s="44">
        <f>'WACC+FONTI'!C29</f>
        <v>4.9799999999999997E-2</v>
      </c>
      <c r="D44" s="420"/>
      <c r="E44" s="20"/>
      <c r="F44" s="10"/>
      <c r="G44" s="10"/>
      <c r="H44" s="30" t="s">
        <v>62</v>
      </c>
      <c r="I44" s="54">
        <f>I42-I43</f>
        <v>5407753.2212252971</v>
      </c>
      <c r="J44" s="51"/>
      <c r="K44" s="10"/>
      <c r="L44" s="10"/>
      <c r="M44" s="10"/>
      <c r="N44" s="10"/>
      <c r="O44" s="10"/>
      <c r="P44" s="10"/>
      <c r="Q44" s="10"/>
      <c r="R44" s="10"/>
      <c r="S44" s="138"/>
    </row>
    <row r="45" spans="1:19" ht="15.75" x14ac:dyDescent="0.25">
      <c r="A45" s="139"/>
      <c r="B45" s="11" t="s">
        <v>49</v>
      </c>
      <c r="C45" s="44">
        <f>'WACC+FONTI'!C17</f>
        <v>7.0248068999999996E-2</v>
      </c>
      <c r="D45" s="420"/>
      <c r="E45" s="20"/>
      <c r="F45" s="10"/>
      <c r="G45" s="10"/>
      <c r="H45" s="42"/>
      <c r="I45" s="55"/>
      <c r="J45" s="51"/>
      <c r="K45" s="1"/>
      <c r="L45" s="1"/>
      <c r="M45" s="1"/>
      <c r="N45" s="1"/>
      <c r="O45" s="10"/>
      <c r="P45" s="10"/>
      <c r="Q45" s="10"/>
      <c r="R45" s="10"/>
      <c r="S45" s="138"/>
    </row>
    <row r="46" spans="1:19" ht="30" customHeight="1" x14ac:dyDescent="0.25">
      <c r="A46" s="139"/>
      <c r="B46" s="4"/>
      <c r="C46" s="4"/>
      <c r="E46" s="10"/>
      <c r="F46" s="10"/>
      <c r="G46" s="10"/>
      <c r="H46" s="302"/>
      <c r="I46" s="303"/>
      <c r="J46" s="51"/>
      <c r="K46" s="1"/>
      <c r="L46" s="418"/>
      <c r="M46" s="1"/>
      <c r="N46" s="1"/>
      <c r="O46" s="10"/>
      <c r="P46" s="10"/>
      <c r="Q46" s="10"/>
      <c r="R46" s="10"/>
      <c r="S46" s="138"/>
    </row>
    <row r="47" spans="1:19" ht="30" x14ac:dyDescent="0.25">
      <c r="A47" s="139"/>
      <c r="B47" s="11" t="s">
        <v>52</v>
      </c>
      <c r="C47" s="48">
        <v>23</v>
      </c>
      <c r="D47" s="41" t="s">
        <v>53</v>
      </c>
      <c r="E47" s="10"/>
      <c r="F47" s="10"/>
      <c r="G47" s="10"/>
      <c r="H47" s="306" t="s">
        <v>66</v>
      </c>
      <c r="I47" s="61">
        <f>'QUADRO ECONOMICO'!C8</f>
        <v>116563.15000000001</v>
      </c>
      <c r="J47" s="304"/>
      <c r="K47" s="1"/>
      <c r="L47" s="351"/>
      <c r="M47" s="1"/>
      <c r="N47" s="1"/>
      <c r="O47" s="10"/>
      <c r="P47" s="10"/>
      <c r="Q47" s="10"/>
      <c r="R47" s="10"/>
      <c r="S47" s="138"/>
    </row>
    <row r="48" spans="1:19" ht="15.75" x14ac:dyDescent="0.25">
      <c r="A48" s="139"/>
      <c r="B48" s="14" t="s">
        <v>55</v>
      </c>
      <c r="C48" s="50">
        <f>C47</f>
        <v>23</v>
      </c>
      <c r="D48" s="41" t="s">
        <v>53</v>
      </c>
      <c r="E48" s="10"/>
      <c r="F48" s="10"/>
      <c r="G48" s="10"/>
      <c r="H48" s="302"/>
      <c r="I48" s="303"/>
      <c r="J48" s="51"/>
      <c r="K48" s="4"/>
      <c r="L48" s="1"/>
      <c r="M48" s="305"/>
      <c r="N48" s="1"/>
      <c r="O48" s="10"/>
      <c r="P48" s="10"/>
      <c r="Q48" s="10"/>
      <c r="R48" s="10"/>
      <c r="S48" s="138"/>
    </row>
    <row r="49" spans="1:19" ht="27" customHeight="1" x14ac:dyDescent="0.25">
      <c r="A49" s="139"/>
      <c r="B49" s="30" t="s">
        <v>56</v>
      </c>
      <c r="C49" s="425">
        <v>1</v>
      </c>
      <c r="D49" s="41" t="s">
        <v>57</v>
      </c>
      <c r="E49" s="10"/>
      <c r="F49" s="10"/>
      <c r="G49" s="10"/>
      <c r="H49" s="4"/>
      <c r="I49" s="4"/>
      <c r="J49" s="295"/>
      <c r="K49" s="1"/>
      <c r="L49" s="1"/>
      <c r="M49" s="352"/>
      <c r="N49" s="114"/>
      <c r="O49" s="20"/>
      <c r="P49" s="20"/>
      <c r="Q49" s="20"/>
      <c r="R49" s="10"/>
      <c r="S49" s="138"/>
    </row>
    <row r="50" spans="1:19" ht="15.75" x14ac:dyDescent="0.25">
      <c r="A50" s="139"/>
      <c r="B50" s="10"/>
      <c r="C50" s="10"/>
      <c r="D50" s="10"/>
      <c r="E50" s="10"/>
      <c r="F50" s="10"/>
      <c r="G50" s="10"/>
      <c r="H50" s="4"/>
      <c r="I50" s="4"/>
      <c r="J50" s="295"/>
      <c r="K50" s="1"/>
      <c r="L50" s="1"/>
      <c r="M50" s="4"/>
      <c r="N50" s="4"/>
      <c r="O50" s="4"/>
      <c r="P50" s="4"/>
      <c r="Q50" s="4"/>
      <c r="R50" s="419"/>
      <c r="S50" s="138"/>
    </row>
    <row r="51" spans="1:19" ht="15.75" x14ac:dyDescent="0.25">
      <c r="A51" s="139"/>
      <c r="B51" s="11" t="s">
        <v>59</v>
      </c>
      <c r="C51" s="399">
        <f>YEAR(C7)+1</f>
        <v>2027</v>
      </c>
      <c r="D51" s="10"/>
      <c r="E51" s="10"/>
      <c r="F51" s="10"/>
      <c r="G51" s="10"/>
      <c r="H51" s="31"/>
      <c r="I51" s="297"/>
      <c r="J51" s="647"/>
      <c r="K51" s="1"/>
      <c r="L51" s="114"/>
      <c r="M51" s="4"/>
      <c r="N51" s="4"/>
      <c r="O51" s="4"/>
      <c r="P51" s="4"/>
      <c r="Q51" s="350"/>
      <c r="R51" s="421">
        <v>2025</v>
      </c>
      <c r="S51" s="421">
        <v>2024</v>
      </c>
    </row>
    <row r="52" spans="1:19" ht="15.75" x14ac:dyDescent="0.25">
      <c r="A52" s="139"/>
      <c r="B52" s="11" t="s">
        <v>61</v>
      </c>
      <c r="C52" s="52">
        <f>C51+C47-1</f>
        <v>2049</v>
      </c>
      <c r="D52" s="10"/>
      <c r="E52" s="10"/>
      <c r="F52" s="10"/>
      <c r="G52" s="10"/>
      <c r="H52" s="296"/>
      <c r="I52" s="297"/>
      <c r="J52" s="1"/>
      <c r="K52" s="1"/>
      <c r="L52" s="1"/>
      <c r="M52" s="274" t="s">
        <v>72</v>
      </c>
      <c r="N52" s="275"/>
      <c r="O52" s="276"/>
      <c r="P52" s="287">
        <v>0.48280000000000001</v>
      </c>
      <c r="Q52" s="277">
        <f>(SUM($J$57:$J$60)-SUM($K$57:$K$58))*P52</f>
        <v>2610863.2552075735</v>
      </c>
      <c r="R52" s="422">
        <v>0.4955</v>
      </c>
      <c r="S52" s="422">
        <v>0.53759999999999997</v>
      </c>
    </row>
    <row r="53" spans="1:19" ht="15.75" x14ac:dyDescent="0.25">
      <c r="A53" s="139"/>
      <c r="B53" s="14" t="s">
        <v>63</v>
      </c>
      <c r="C53" s="44">
        <v>0.22</v>
      </c>
      <c r="D53" s="10"/>
      <c r="E53" s="20"/>
      <c r="F53" s="20"/>
      <c r="G53" s="20"/>
      <c r="H53" s="114"/>
      <c r="I53" s="114"/>
      <c r="J53" s="1"/>
      <c r="K53" s="1"/>
      <c r="L53" s="114"/>
      <c r="M53" s="274" t="s">
        <v>74</v>
      </c>
      <c r="N53" s="275"/>
      <c r="O53" s="276"/>
      <c r="P53" s="288">
        <f>1-P52</f>
        <v>0.51719999999999999</v>
      </c>
      <c r="Q53" s="277">
        <f>(SUM($J$57:$J$60)-SUM($K$57:$K$58))*P53</f>
        <v>2796889.9660177235</v>
      </c>
      <c r="R53" s="422">
        <f>1-R52</f>
        <v>0.50449999999999995</v>
      </c>
      <c r="S53" s="422">
        <v>0.46240000000000003</v>
      </c>
    </row>
    <row r="54" spans="1:19" ht="16.5" customHeight="1" x14ac:dyDescent="0.25">
      <c r="A54" s="139"/>
      <c r="B54" s="14" t="s">
        <v>64</v>
      </c>
      <c r="C54" s="44">
        <v>0.24</v>
      </c>
      <c r="D54" s="10"/>
      <c r="E54" s="20"/>
      <c r="F54" s="20"/>
      <c r="G54" s="20"/>
      <c r="H54" s="114"/>
      <c r="I54" s="114"/>
      <c r="J54" s="1"/>
      <c r="K54" s="305">
        <f>J55-K55</f>
        <v>5407753.2212252971</v>
      </c>
      <c r="L54" s="1"/>
      <c r="M54" s="274" t="s">
        <v>76</v>
      </c>
      <c r="N54" s="275"/>
      <c r="O54" s="276"/>
      <c r="P54" s="288">
        <f>SUM(P52:P53)</f>
        <v>1</v>
      </c>
      <c r="Q54" s="277">
        <f>SUM(Q52:Q53)</f>
        <v>5407753.2212252971</v>
      </c>
      <c r="R54" s="10" t="s">
        <v>77</v>
      </c>
      <c r="S54" s="138"/>
    </row>
    <row r="55" spans="1:19" ht="15.75" x14ac:dyDescent="0.25">
      <c r="A55" s="139"/>
      <c r="B55" s="14" t="s">
        <v>65</v>
      </c>
      <c r="C55" s="44">
        <v>4.2000000000000003E-2</v>
      </c>
      <c r="D55" s="10"/>
      <c r="E55" s="10"/>
      <c r="F55" s="38" t="s">
        <v>78</v>
      </c>
      <c r="G55" s="136">
        <f>SUM(G57:G60)</f>
        <v>1</v>
      </c>
      <c r="H55" s="1"/>
      <c r="I55" s="1"/>
      <c r="J55" s="305">
        <f>SUM(J57:J60)</f>
        <v>5407753.2212252971</v>
      </c>
      <c r="K55" s="311">
        <f>SUM(K57:K58)</f>
        <v>0</v>
      </c>
      <c r="M55" s="1"/>
      <c r="N55" s="41"/>
      <c r="O55" s="232"/>
      <c r="P55" s="10"/>
      <c r="Q55" s="10"/>
      <c r="R55" s="10"/>
      <c r="S55" s="138"/>
    </row>
    <row r="56" spans="1:19" ht="60" customHeight="1" x14ac:dyDescent="0.25">
      <c r="A56" s="139"/>
      <c r="B56" s="1"/>
      <c r="C56" s="1"/>
      <c r="D56" s="1"/>
      <c r="E56" s="19" t="s">
        <v>79</v>
      </c>
      <c r="F56" s="19" t="s">
        <v>79</v>
      </c>
      <c r="G56" s="19" t="s">
        <v>80</v>
      </c>
      <c r="H56" s="63" t="s">
        <v>81</v>
      </c>
      <c r="I56" s="309" t="s">
        <v>82</v>
      </c>
      <c r="J56" s="67" t="s">
        <v>83</v>
      </c>
      <c r="K56" s="67" t="s">
        <v>84</v>
      </c>
      <c r="L56" s="10"/>
      <c r="M56" s="64" t="s">
        <v>79</v>
      </c>
      <c r="N56" s="64" t="s">
        <v>79</v>
      </c>
      <c r="O56" s="64" t="s">
        <v>85</v>
      </c>
      <c r="P56" s="64" t="s">
        <v>86</v>
      </c>
      <c r="Q56" s="64" t="s">
        <v>87</v>
      </c>
      <c r="R56" s="64" t="s">
        <v>88</v>
      </c>
      <c r="S56" s="138"/>
    </row>
    <row r="57" spans="1:19" ht="15.75" x14ac:dyDescent="0.25">
      <c r="A57" s="139"/>
      <c r="B57" s="56" t="s">
        <v>67</v>
      </c>
      <c r="C57" s="57"/>
      <c r="D57" s="1"/>
      <c r="E57" s="11">
        <v>1</v>
      </c>
      <c r="F57" s="11">
        <f>C51</f>
        <v>2027</v>
      </c>
      <c r="G57" s="65">
        <v>1</v>
      </c>
      <c r="H57" s="66">
        <f>G57*(($I$35/1.265)+$I$36)</f>
        <v>4038406.2512252969</v>
      </c>
      <c r="I57" s="66">
        <f>$I$37</f>
        <v>1369346.97</v>
      </c>
      <c r="J57" s="66">
        <f>H57+I57</f>
        <v>5407753.2212252971</v>
      </c>
      <c r="K57" s="34">
        <v>0</v>
      </c>
      <c r="L57" s="10"/>
      <c r="M57" s="11">
        <v>1</v>
      </c>
      <c r="N57" s="11">
        <f>C51</f>
        <v>2027</v>
      </c>
      <c r="O57" s="66">
        <f t="shared" ref="O57:O86" si="3">IF(M57&lt;=$C$48,PMT($C$43,$C$48,$Q$52)*-1,0)</f>
        <v>155330.14604101612</v>
      </c>
      <c r="P57" s="66">
        <f>IF(M57&lt;=$C$48,IF(O57&lt;&gt;0,O57-Q57,0),0)</f>
        <v>82487.06122072482</v>
      </c>
      <c r="Q57" s="66">
        <f>IF(M57&lt;=$C$48,IF(O57&lt;&gt;0,$C$43*$Q$52,0),0)</f>
        <v>72843.084820291304</v>
      </c>
      <c r="R57" s="66">
        <f>IF(M57&lt;=$C$48,IF(O57&lt;&gt;0,$Q$52-P57,0),0)</f>
        <v>2528376.1939868489</v>
      </c>
      <c r="S57" s="138"/>
    </row>
    <row r="58" spans="1:19" ht="15.75" x14ac:dyDescent="0.25">
      <c r="A58" s="139"/>
      <c r="B58" s="58" t="s">
        <v>68</v>
      </c>
      <c r="C58" s="59">
        <v>60</v>
      </c>
      <c r="D58" s="1"/>
      <c r="E58" s="11">
        <f>E57+1</f>
        <v>2</v>
      </c>
      <c r="F58" s="11">
        <f>F57+1</f>
        <v>2028</v>
      </c>
      <c r="G58" s="65">
        <v>0</v>
      </c>
      <c r="H58" s="66">
        <f>(G58*($I$35+$I$36))/1.1</f>
        <v>0</v>
      </c>
      <c r="I58" s="66"/>
      <c r="J58" s="66">
        <f>H58+I58</f>
        <v>0</v>
      </c>
      <c r="K58" s="34">
        <v>0</v>
      </c>
      <c r="L58" s="349"/>
      <c r="M58" s="11">
        <f>M57+1</f>
        <v>2</v>
      </c>
      <c r="N58" s="11">
        <f>N57+1</f>
        <v>2028</v>
      </c>
      <c r="O58" s="66">
        <f t="shared" si="3"/>
        <v>155330.14604101612</v>
      </c>
      <c r="P58" s="66">
        <f t="shared" ref="P58:P86" si="4">IF(M58&lt;=$C$48,IF(O58&lt;&gt;0,O58-Q58,0),0)</f>
        <v>84788.45022878304</v>
      </c>
      <c r="Q58" s="66">
        <f t="shared" ref="Q58:Q86" si="5">IF(M58&lt;=$C$48,IF(O58&lt;&gt;0,R57*$C$43,0),0)</f>
        <v>70541.695812233083</v>
      </c>
      <c r="R58" s="66">
        <f t="shared" ref="R58:R86" si="6">IF(M58&lt;=$C$48,R57-P58,0)</f>
        <v>2443587.7437580661</v>
      </c>
      <c r="S58" s="138"/>
    </row>
    <row r="59" spans="1:19" ht="15.75" x14ac:dyDescent="0.25">
      <c r="A59" s="139"/>
      <c r="B59" s="58" t="s">
        <v>69</v>
      </c>
      <c r="C59" s="59">
        <v>60</v>
      </c>
      <c r="D59" s="1"/>
      <c r="E59" s="11">
        <f t="shared" ref="E59:F74" si="7">E58+1</f>
        <v>3</v>
      </c>
      <c r="F59" s="11">
        <f t="shared" si="7"/>
        <v>2029</v>
      </c>
      <c r="G59" s="65">
        <v>0</v>
      </c>
      <c r="H59" s="66">
        <f>G59*($I$35+$I$36)</f>
        <v>0</v>
      </c>
      <c r="I59" s="66"/>
      <c r="J59" s="66">
        <f>H59+I59</f>
        <v>0</v>
      </c>
      <c r="K59" s="66"/>
      <c r="L59" s="349"/>
      <c r="M59" s="11">
        <f t="shared" ref="M59:N74" si="8">M58+1</f>
        <v>3</v>
      </c>
      <c r="N59" s="11">
        <f t="shared" si="8"/>
        <v>2029</v>
      </c>
      <c r="O59" s="66">
        <f t="shared" si="3"/>
        <v>155330.14604101612</v>
      </c>
      <c r="P59" s="66">
        <f t="shared" si="4"/>
        <v>87154.047990166073</v>
      </c>
      <c r="Q59" s="66">
        <f t="shared" si="5"/>
        <v>68176.098050850051</v>
      </c>
      <c r="R59" s="66">
        <f t="shared" si="6"/>
        <v>2356433.6957679</v>
      </c>
      <c r="S59" s="138"/>
    </row>
    <row r="60" spans="1:19" ht="15.75" x14ac:dyDescent="0.25">
      <c r="A60" s="139"/>
      <c r="B60" s="58" t="s">
        <v>70</v>
      </c>
      <c r="C60" s="59">
        <v>0</v>
      </c>
      <c r="D60" s="1"/>
      <c r="E60" s="11">
        <f t="shared" si="7"/>
        <v>4</v>
      </c>
      <c r="F60" s="11">
        <f t="shared" si="7"/>
        <v>2030</v>
      </c>
      <c r="G60" s="65">
        <v>0</v>
      </c>
      <c r="H60" s="66">
        <f>G60*($I$35+$I$36)</f>
        <v>0</v>
      </c>
      <c r="I60" s="66"/>
      <c r="J60" s="66">
        <f>H60+I60</f>
        <v>0</v>
      </c>
      <c r="K60" s="66"/>
      <c r="L60" s="349"/>
      <c r="M60" s="11">
        <f t="shared" si="8"/>
        <v>4</v>
      </c>
      <c r="N60" s="11">
        <f t="shared" si="8"/>
        <v>2030</v>
      </c>
      <c r="O60" s="66">
        <f t="shared" si="3"/>
        <v>155330.14604101612</v>
      </c>
      <c r="P60" s="66">
        <f t="shared" si="4"/>
        <v>89585.645929091712</v>
      </c>
      <c r="Q60" s="66">
        <f t="shared" si="5"/>
        <v>65744.500111924412</v>
      </c>
      <c r="R60" s="66">
        <f t="shared" si="6"/>
        <v>2266848.0498388084</v>
      </c>
      <c r="S60" s="138"/>
    </row>
    <row r="61" spans="1:19" ht="15.75" x14ac:dyDescent="0.25">
      <c r="A61" s="139"/>
      <c r="B61" s="58" t="s">
        <v>71</v>
      </c>
      <c r="C61" s="60">
        <f>C59/365</f>
        <v>0.16438356164383561</v>
      </c>
      <c r="D61" s="1"/>
      <c r="E61" s="11">
        <f t="shared" si="7"/>
        <v>5</v>
      </c>
      <c r="F61" s="11">
        <f t="shared" si="7"/>
        <v>2031</v>
      </c>
      <c r="G61" s="11"/>
      <c r="H61" s="66"/>
      <c r="I61" s="66"/>
      <c r="J61" s="66"/>
      <c r="K61" s="66"/>
      <c r="L61" s="349"/>
      <c r="M61" s="11">
        <f t="shared" si="8"/>
        <v>5</v>
      </c>
      <c r="N61" s="11">
        <f t="shared" si="8"/>
        <v>2031</v>
      </c>
      <c r="O61" s="66">
        <f t="shared" si="3"/>
        <v>155330.14604101612</v>
      </c>
      <c r="P61" s="66">
        <f t="shared" si="4"/>
        <v>92085.085450513376</v>
      </c>
      <c r="Q61" s="66">
        <f t="shared" si="5"/>
        <v>63245.060590502755</v>
      </c>
      <c r="R61" s="66">
        <f t="shared" si="6"/>
        <v>2174762.9643882951</v>
      </c>
      <c r="S61" s="138"/>
    </row>
    <row r="62" spans="1:19" ht="15.75" x14ac:dyDescent="0.25">
      <c r="A62" s="139"/>
      <c r="B62" s="58" t="s">
        <v>73</v>
      </c>
      <c r="C62" s="60">
        <f>C58/365</f>
        <v>0.16438356164383561</v>
      </c>
      <c r="D62" s="1"/>
      <c r="E62" s="11">
        <f t="shared" si="7"/>
        <v>6</v>
      </c>
      <c r="F62" s="11">
        <f t="shared" si="7"/>
        <v>2032</v>
      </c>
      <c r="G62" s="11"/>
      <c r="H62" s="66"/>
      <c r="I62" s="66"/>
      <c r="J62" s="66"/>
      <c r="K62" s="66"/>
      <c r="L62" s="349"/>
      <c r="M62" s="11">
        <f t="shared" si="8"/>
        <v>6</v>
      </c>
      <c r="N62" s="11">
        <f t="shared" si="8"/>
        <v>2032</v>
      </c>
      <c r="O62" s="66">
        <f t="shared" si="3"/>
        <v>155330.14604101612</v>
      </c>
      <c r="P62" s="66">
        <f t="shared" si="4"/>
        <v>94654.25933458269</v>
      </c>
      <c r="Q62" s="66">
        <f t="shared" si="5"/>
        <v>60675.886706433434</v>
      </c>
      <c r="R62" s="66">
        <f t="shared" si="6"/>
        <v>2080108.7050537125</v>
      </c>
      <c r="S62" s="138"/>
    </row>
    <row r="63" spans="1:19" ht="15.75" x14ac:dyDescent="0.25">
      <c r="A63" s="139"/>
      <c r="B63" s="58" t="s">
        <v>75</v>
      </c>
      <c r="C63" s="62">
        <f>+C60/365</f>
        <v>0</v>
      </c>
      <c r="D63" s="1"/>
      <c r="E63" s="11">
        <f t="shared" si="7"/>
        <v>7</v>
      </c>
      <c r="F63" s="11">
        <f t="shared" si="7"/>
        <v>2033</v>
      </c>
      <c r="G63" s="11"/>
      <c r="H63" s="66"/>
      <c r="I63" s="66"/>
      <c r="J63" s="66"/>
      <c r="K63" s="66"/>
      <c r="L63" s="349"/>
      <c r="M63" s="11">
        <f t="shared" si="8"/>
        <v>7</v>
      </c>
      <c r="N63" s="11">
        <f t="shared" si="8"/>
        <v>2033</v>
      </c>
      <c r="O63" s="66">
        <f t="shared" si="3"/>
        <v>155330.14604101612</v>
      </c>
      <c r="P63" s="66">
        <f t="shared" si="4"/>
        <v>97295.113170017547</v>
      </c>
      <c r="Q63" s="66">
        <f t="shared" si="5"/>
        <v>58035.032870998577</v>
      </c>
      <c r="R63" s="66">
        <f t="shared" si="6"/>
        <v>1982813.591883695</v>
      </c>
      <c r="S63" s="138"/>
    </row>
    <row r="64" spans="1:19" ht="15.75" x14ac:dyDescent="0.25">
      <c r="A64" s="139"/>
      <c r="B64" s="4"/>
      <c r="C64" s="4"/>
      <c r="D64" s="1"/>
      <c r="E64" s="11">
        <f t="shared" si="7"/>
        <v>8</v>
      </c>
      <c r="F64" s="11">
        <f t="shared" si="7"/>
        <v>2034</v>
      </c>
      <c r="G64" s="11"/>
      <c r="H64" s="66"/>
      <c r="I64" s="66"/>
      <c r="J64" s="66"/>
      <c r="K64" s="66"/>
      <c r="L64" s="349"/>
      <c r="M64" s="11">
        <f t="shared" si="8"/>
        <v>8</v>
      </c>
      <c r="N64" s="11">
        <f t="shared" si="8"/>
        <v>2034</v>
      </c>
      <c r="O64" s="66">
        <f t="shared" si="3"/>
        <v>155330.14604101612</v>
      </c>
      <c r="P64" s="66">
        <f t="shared" si="4"/>
        <v>100009.64682746102</v>
      </c>
      <c r="Q64" s="66">
        <f t="shared" si="5"/>
        <v>55320.499213555093</v>
      </c>
      <c r="R64" s="66">
        <f t="shared" si="6"/>
        <v>1882803.945056234</v>
      </c>
      <c r="S64" s="138"/>
    </row>
    <row r="65" spans="1:19" ht="15.75" x14ac:dyDescent="0.25">
      <c r="A65" s="139"/>
      <c r="B65" s="1"/>
      <c r="C65" s="1"/>
      <c r="D65" s="1"/>
      <c r="E65" s="11">
        <f t="shared" si="7"/>
        <v>9</v>
      </c>
      <c r="F65" s="11">
        <f t="shared" si="7"/>
        <v>2035</v>
      </c>
      <c r="G65" s="11"/>
      <c r="H65" s="66"/>
      <c r="I65" s="66"/>
      <c r="J65" s="66"/>
      <c r="K65" s="66"/>
      <c r="L65" s="349"/>
      <c r="M65" s="11">
        <f t="shared" si="8"/>
        <v>9</v>
      </c>
      <c r="N65" s="11">
        <f t="shared" si="8"/>
        <v>2035</v>
      </c>
      <c r="O65" s="66">
        <f t="shared" si="3"/>
        <v>155330.14604101612</v>
      </c>
      <c r="P65" s="66">
        <f t="shared" si="4"/>
        <v>102799.91597394719</v>
      </c>
      <c r="Q65" s="66">
        <f t="shared" si="5"/>
        <v>52530.230067068929</v>
      </c>
      <c r="R65" s="66">
        <f t="shared" si="6"/>
        <v>1780004.0290822869</v>
      </c>
      <c r="S65" s="138"/>
    </row>
    <row r="66" spans="1:19" ht="15.75" x14ac:dyDescent="0.25">
      <c r="A66" s="139"/>
      <c r="B66" s="14" t="s">
        <v>89</v>
      </c>
      <c r="C66" s="16" t="s">
        <v>90</v>
      </c>
      <c r="D66" s="1"/>
      <c r="E66" s="11">
        <f t="shared" si="7"/>
        <v>10</v>
      </c>
      <c r="F66" s="11">
        <f t="shared" si="7"/>
        <v>2036</v>
      </c>
      <c r="G66" s="11"/>
      <c r="H66" s="66"/>
      <c r="I66" s="66"/>
      <c r="J66" s="66"/>
      <c r="K66" s="66"/>
      <c r="L66" s="349"/>
      <c r="M66" s="11">
        <f t="shared" si="8"/>
        <v>10</v>
      </c>
      <c r="N66" s="11">
        <f t="shared" si="8"/>
        <v>2036</v>
      </c>
      <c r="O66" s="66">
        <f t="shared" si="3"/>
        <v>155330.14604101612</v>
      </c>
      <c r="P66" s="66">
        <f t="shared" si="4"/>
        <v>105668.03362962032</v>
      </c>
      <c r="Q66" s="66">
        <f t="shared" si="5"/>
        <v>49662.112411395807</v>
      </c>
      <c r="R66" s="66">
        <f t="shared" si="6"/>
        <v>1674335.9954526667</v>
      </c>
      <c r="S66" s="138"/>
    </row>
    <row r="67" spans="1:19" ht="15.75" x14ac:dyDescent="0.25">
      <c r="A67" s="139"/>
      <c r="B67" s="14" t="s">
        <v>91</v>
      </c>
      <c r="C67" s="16" t="s">
        <v>92</v>
      </c>
      <c r="D67" s="1"/>
      <c r="E67" s="11">
        <f t="shared" si="7"/>
        <v>11</v>
      </c>
      <c r="F67" s="11">
        <f t="shared" si="7"/>
        <v>2037</v>
      </c>
      <c r="G67" s="11"/>
      <c r="H67" s="66"/>
      <c r="I67" s="66"/>
      <c r="J67" s="66"/>
      <c r="K67" s="66"/>
      <c r="L67" s="349"/>
      <c r="M67" s="11">
        <f t="shared" si="8"/>
        <v>11</v>
      </c>
      <c r="N67" s="11">
        <f t="shared" si="8"/>
        <v>2037</v>
      </c>
      <c r="O67" s="66">
        <f t="shared" si="3"/>
        <v>155330.14604101612</v>
      </c>
      <c r="P67" s="66">
        <f t="shared" si="4"/>
        <v>108616.17176788673</v>
      </c>
      <c r="Q67" s="66">
        <f t="shared" si="5"/>
        <v>46713.974273129403</v>
      </c>
      <c r="R67" s="66">
        <f t="shared" si="6"/>
        <v>1565719.8236847799</v>
      </c>
      <c r="S67" s="138"/>
    </row>
    <row r="68" spans="1:19" ht="15.75" x14ac:dyDescent="0.25">
      <c r="A68" s="139"/>
      <c r="B68" s="14" t="s">
        <v>93</v>
      </c>
      <c r="C68" s="34" t="s">
        <v>94</v>
      </c>
      <c r="D68" s="1"/>
      <c r="E68" s="11">
        <f t="shared" si="7"/>
        <v>12</v>
      </c>
      <c r="F68" s="11">
        <f t="shared" si="7"/>
        <v>2038</v>
      </c>
      <c r="G68" s="11"/>
      <c r="H68" s="66"/>
      <c r="I68" s="66"/>
      <c r="J68" s="66"/>
      <c r="K68" s="66"/>
      <c r="L68" s="349"/>
      <c r="M68" s="11">
        <f t="shared" si="8"/>
        <v>12</v>
      </c>
      <c r="N68" s="11">
        <f t="shared" si="8"/>
        <v>2038</v>
      </c>
      <c r="O68" s="66">
        <f t="shared" si="3"/>
        <v>155330.14604101612</v>
      </c>
      <c r="P68" s="66">
        <f t="shared" si="4"/>
        <v>111646.56296021075</v>
      </c>
      <c r="Q68" s="66">
        <f t="shared" si="5"/>
        <v>43683.583080805365</v>
      </c>
      <c r="R68" s="66">
        <f t="shared" si="6"/>
        <v>1454073.2607245692</v>
      </c>
      <c r="S68" s="138"/>
    </row>
    <row r="69" spans="1:19" ht="15.75" x14ac:dyDescent="0.25">
      <c r="A69" s="139"/>
      <c r="B69" s="14" t="s">
        <v>95</v>
      </c>
      <c r="C69" s="16" t="s">
        <v>96</v>
      </c>
      <c r="D69" s="1"/>
      <c r="E69" s="11">
        <f t="shared" si="7"/>
        <v>13</v>
      </c>
      <c r="F69" s="11">
        <f t="shared" si="7"/>
        <v>2039</v>
      </c>
      <c r="G69" s="11"/>
      <c r="H69" s="66"/>
      <c r="I69" s="66"/>
      <c r="J69" s="66"/>
      <c r="K69" s="66"/>
      <c r="L69" s="349"/>
      <c r="M69" s="11">
        <f t="shared" si="8"/>
        <v>13</v>
      </c>
      <c r="N69" s="11">
        <f t="shared" si="8"/>
        <v>2039</v>
      </c>
      <c r="O69" s="66">
        <f t="shared" si="3"/>
        <v>155330.14604101612</v>
      </c>
      <c r="P69" s="66">
        <f t="shared" si="4"/>
        <v>114761.50206680063</v>
      </c>
      <c r="Q69" s="66">
        <f t="shared" si="5"/>
        <v>40568.643974215483</v>
      </c>
      <c r="R69" s="66">
        <f t="shared" si="6"/>
        <v>1339311.7586577686</v>
      </c>
      <c r="S69" s="138"/>
    </row>
    <row r="70" spans="1:19" ht="15.75" x14ac:dyDescent="0.25">
      <c r="A70" s="139"/>
      <c r="B70" s="14" t="s">
        <v>97</v>
      </c>
      <c r="C70" s="16" t="s">
        <v>98</v>
      </c>
      <c r="D70" s="1"/>
      <c r="E70" s="11">
        <f t="shared" si="7"/>
        <v>14</v>
      </c>
      <c r="F70" s="11">
        <f t="shared" si="7"/>
        <v>2040</v>
      </c>
      <c r="G70" s="11"/>
      <c r="H70" s="66"/>
      <c r="I70" s="66"/>
      <c r="J70" s="66"/>
      <c r="K70" s="66"/>
      <c r="L70" s="349"/>
      <c r="M70" s="11">
        <f t="shared" si="8"/>
        <v>14</v>
      </c>
      <c r="N70" s="11">
        <f t="shared" si="8"/>
        <v>2040</v>
      </c>
      <c r="O70" s="66">
        <f t="shared" si="3"/>
        <v>155330.14604101612</v>
      </c>
      <c r="P70" s="66">
        <f t="shared" si="4"/>
        <v>117963.34797446438</v>
      </c>
      <c r="Q70" s="66">
        <f t="shared" si="5"/>
        <v>37366.798066551746</v>
      </c>
      <c r="R70" s="66">
        <f t="shared" si="6"/>
        <v>1221348.4106833043</v>
      </c>
      <c r="S70" s="138"/>
    </row>
    <row r="71" spans="1:19" ht="15.75" x14ac:dyDescent="0.25">
      <c r="A71" s="139"/>
      <c r="B71" s="14" t="s">
        <v>99</v>
      </c>
      <c r="C71" s="16" t="s">
        <v>100</v>
      </c>
      <c r="D71" s="1"/>
      <c r="E71" s="11">
        <f t="shared" si="7"/>
        <v>15</v>
      </c>
      <c r="F71" s="11">
        <f t="shared" si="7"/>
        <v>2041</v>
      </c>
      <c r="G71" s="11"/>
      <c r="H71" s="66"/>
      <c r="I71" s="66"/>
      <c r="J71" s="66"/>
      <c r="K71" s="66"/>
      <c r="L71" s="349"/>
      <c r="M71" s="11">
        <f t="shared" si="8"/>
        <v>15</v>
      </c>
      <c r="N71" s="11">
        <f t="shared" si="8"/>
        <v>2041</v>
      </c>
      <c r="O71" s="66">
        <f t="shared" si="3"/>
        <v>155330.14604101612</v>
      </c>
      <c r="P71" s="66">
        <f t="shared" si="4"/>
        <v>121254.52538295194</v>
      </c>
      <c r="Q71" s="66">
        <f t="shared" si="5"/>
        <v>34075.620658064188</v>
      </c>
      <c r="R71" s="66">
        <f t="shared" si="6"/>
        <v>1100093.8853003525</v>
      </c>
      <c r="S71" s="138"/>
    </row>
    <row r="72" spans="1:19" ht="15.75" x14ac:dyDescent="0.25">
      <c r="A72" s="139"/>
      <c r="B72" s="14" t="s">
        <v>101</v>
      </c>
      <c r="C72" s="16" t="s">
        <v>102</v>
      </c>
      <c r="D72" s="1"/>
      <c r="E72" s="11">
        <f t="shared" si="7"/>
        <v>16</v>
      </c>
      <c r="F72" s="11">
        <f t="shared" si="7"/>
        <v>2042</v>
      </c>
      <c r="G72" s="11"/>
      <c r="H72" s="66"/>
      <c r="I72" s="66"/>
      <c r="J72" s="66"/>
      <c r="K72" s="66"/>
      <c r="L72" s="349"/>
      <c r="M72" s="11">
        <f t="shared" si="8"/>
        <v>16</v>
      </c>
      <c r="N72" s="11">
        <f t="shared" si="8"/>
        <v>2042</v>
      </c>
      <c r="O72" s="66">
        <f t="shared" si="3"/>
        <v>155330.14604101612</v>
      </c>
      <c r="P72" s="66">
        <f t="shared" si="4"/>
        <v>124637.5266411363</v>
      </c>
      <c r="Q72" s="66">
        <f t="shared" si="5"/>
        <v>30692.619399879834</v>
      </c>
      <c r="R72" s="66">
        <f t="shared" si="6"/>
        <v>975456.3586592162</v>
      </c>
      <c r="S72" s="138"/>
    </row>
    <row r="73" spans="1:19" ht="15.75" x14ac:dyDescent="0.25">
      <c r="A73" s="139"/>
      <c r="B73" s="14" t="s">
        <v>103</v>
      </c>
      <c r="C73" s="16" t="s">
        <v>104</v>
      </c>
      <c r="D73" s="1"/>
      <c r="E73" s="11">
        <f t="shared" si="7"/>
        <v>17</v>
      </c>
      <c r="F73" s="11">
        <f t="shared" si="7"/>
        <v>2043</v>
      </c>
      <c r="G73" s="11"/>
      <c r="H73" s="66"/>
      <c r="I73" s="66"/>
      <c r="J73" s="66"/>
      <c r="K73" s="66"/>
      <c r="L73" s="349"/>
      <c r="M73" s="11">
        <f t="shared" si="8"/>
        <v>17</v>
      </c>
      <c r="N73" s="11">
        <f t="shared" si="8"/>
        <v>2043</v>
      </c>
      <c r="O73" s="66">
        <f t="shared" si="3"/>
        <v>155330.14604101612</v>
      </c>
      <c r="P73" s="66">
        <f t="shared" si="4"/>
        <v>128114.91363442398</v>
      </c>
      <c r="Q73" s="66">
        <f t="shared" si="5"/>
        <v>27215.232406592135</v>
      </c>
      <c r="R73" s="66">
        <f t="shared" si="6"/>
        <v>847341.44502479222</v>
      </c>
      <c r="S73" s="138"/>
    </row>
    <row r="74" spans="1:19" ht="15.75" x14ac:dyDescent="0.25">
      <c r="A74" s="139"/>
      <c r="B74" s="14" t="s">
        <v>105</v>
      </c>
      <c r="C74" s="16" t="s">
        <v>104</v>
      </c>
      <c r="D74" s="33"/>
      <c r="E74" s="11">
        <f t="shared" si="7"/>
        <v>18</v>
      </c>
      <c r="F74" s="11">
        <f t="shared" si="7"/>
        <v>2044</v>
      </c>
      <c r="G74" s="11"/>
      <c r="H74" s="66"/>
      <c r="I74" s="66"/>
      <c r="J74" s="66"/>
      <c r="K74" s="66"/>
      <c r="L74" s="349"/>
      <c r="M74" s="11">
        <f t="shared" si="8"/>
        <v>18</v>
      </c>
      <c r="N74" s="11">
        <f t="shared" si="8"/>
        <v>2044</v>
      </c>
      <c r="O74" s="66">
        <f t="shared" si="3"/>
        <v>155330.14604101612</v>
      </c>
      <c r="P74" s="66">
        <f t="shared" si="4"/>
        <v>131689.31972482443</v>
      </c>
      <c r="Q74" s="66">
        <f t="shared" si="5"/>
        <v>23640.826316191706</v>
      </c>
      <c r="R74" s="66">
        <f t="shared" si="6"/>
        <v>715652.12529996783</v>
      </c>
      <c r="S74" s="138"/>
    </row>
    <row r="75" spans="1:19" ht="15.75" x14ac:dyDescent="0.25">
      <c r="A75" s="139"/>
      <c r="B75" s="1"/>
      <c r="C75" s="1"/>
      <c r="D75" s="1"/>
      <c r="E75" s="11">
        <f t="shared" ref="E75:F86" si="9">E74+1</f>
        <v>19</v>
      </c>
      <c r="F75" s="11">
        <f t="shared" si="9"/>
        <v>2045</v>
      </c>
      <c r="G75" s="11"/>
      <c r="H75" s="66"/>
      <c r="I75" s="66"/>
      <c r="J75" s="66"/>
      <c r="K75" s="66"/>
      <c r="L75" s="349"/>
      <c r="M75" s="11">
        <f t="shared" ref="M75:N86" si="10">M74+1</f>
        <v>19</v>
      </c>
      <c r="N75" s="11">
        <f t="shared" si="10"/>
        <v>2045</v>
      </c>
      <c r="O75" s="66">
        <f t="shared" si="3"/>
        <v>155330.14604101612</v>
      </c>
      <c r="P75" s="66">
        <f t="shared" si="4"/>
        <v>135363.45174514703</v>
      </c>
      <c r="Q75" s="66">
        <f t="shared" si="5"/>
        <v>19966.694295869103</v>
      </c>
      <c r="R75" s="66">
        <f t="shared" si="6"/>
        <v>580288.67355482082</v>
      </c>
      <c r="S75" s="138"/>
    </row>
    <row r="76" spans="1:19" ht="15.75" x14ac:dyDescent="0.25">
      <c r="A76" s="139"/>
      <c r="B76" s="1"/>
      <c r="C76" s="1"/>
      <c r="D76" s="1"/>
      <c r="E76" s="11">
        <f t="shared" si="9"/>
        <v>20</v>
      </c>
      <c r="F76" s="11">
        <f t="shared" si="9"/>
        <v>2046</v>
      </c>
      <c r="G76" s="11"/>
      <c r="H76" s="66"/>
      <c r="I76" s="66"/>
      <c r="J76" s="66"/>
      <c r="K76" s="66"/>
      <c r="L76" s="349"/>
      <c r="M76" s="11">
        <f t="shared" si="10"/>
        <v>20</v>
      </c>
      <c r="N76" s="11">
        <f t="shared" si="10"/>
        <v>2046</v>
      </c>
      <c r="O76" s="66">
        <f t="shared" si="3"/>
        <v>155330.14604101612</v>
      </c>
      <c r="P76" s="66">
        <f t="shared" si="4"/>
        <v>139140.09204883661</v>
      </c>
      <c r="Q76" s="66">
        <f t="shared" si="5"/>
        <v>16190.053992179503</v>
      </c>
      <c r="R76" s="66">
        <f t="shared" si="6"/>
        <v>441148.58150598418</v>
      </c>
      <c r="S76" s="138"/>
    </row>
    <row r="77" spans="1:19" ht="15.75" x14ac:dyDescent="0.25">
      <c r="A77" s="139"/>
      <c r="B77" s="1"/>
      <c r="C77" s="1"/>
      <c r="D77" s="1"/>
      <c r="E77" s="11">
        <f t="shared" si="9"/>
        <v>21</v>
      </c>
      <c r="F77" s="11">
        <f t="shared" si="9"/>
        <v>2047</v>
      </c>
      <c r="G77" s="11"/>
      <c r="H77" s="66"/>
      <c r="I77" s="66"/>
      <c r="J77" s="66"/>
      <c r="K77" s="66"/>
      <c r="L77" s="10"/>
      <c r="M77" s="11">
        <f t="shared" si="10"/>
        <v>21</v>
      </c>
      <c r="N77" s="11">
        <f t="shared" si="10"/>
        <v>2047</v>
      </c>
      <c r="O77" s="66">
        <f t="shared" si="3"/>
        <v>155330.14604101612</v>
      </c>
      <c r="P77" s="66">
        <f t="shared" si="4"/>
        <v>143022.10061699917</v>
      </c>
      <c r="Q77" s="66">
        <f t="shared" si="5"/>
        <v>12308.04542401696</v>
      </c>
      <c r="R77" s="66">
        <f t="shared" si="6"/>
        <v>298126.48088898498</v>
      </c>
      <c r="S77" s="138"/>
    </row>
    <row r="78" spans="1:19" ht="15.75" x14ac:dyDescent="0.25">
      <c r="A78" s="139"/>
      <c r="B78" s="1"/>
      <c r="C78" s="1"/>
      <c r="D78" s="1"/>
      <c r="E78" s="11">
        <f t="shared" si="9"/>
        <v>22</v>
      </c>
      <c r="F78" s="11">
        <f t="shared" si="9"/>
        <v>2048</v>
      </c>
      <c r="G78" s="11"/>
      <c r="H78" s="66"/>
      <c r="I78" s="66"/>
      <c r="J78" s="66"/>
      <c r="K78" s="66"/>
      <c r="L78" s="10"/>
      <c r="M78" s="11">
        <f t="shared" si="10"/>
        <v>22</v>
      </c>
      <c r="N78" s="11">
        <f t="shared" si="10"/>
        <v>2048</v>
      </c>
      <c r="O78" s="66">
        <f t="shared" si="3"/>
        <v>155330.14604101612</v>
      </c>
      <c r="P78" s="66">
        <f t="shared" si="4"/>
        <v>147012.41722421345</v>
      </c>
      <c r="Q78" s="66">
        <f t="shared" si="5"/>
        <v>8317.7288168026807</v>
      </c>
      <c r="R78" s="66">
        <f t="shared" si="6"/>
        <v>151114.06366477153</v>
      </c>
      <c r="S78" s="138"/>
    </row>
    <row r="79" spans="1:19" ht="15.75" x14ac:dyDescent="0.25">
      <c r="A79" s="139"/>
      <c r="B79" s="1"/>
      <c r="C79" s="1"/>
      <c r="D79" s="1"/>
      <c r="E79" s="11">
        <f t="shared" si="9"/>
        <v>23</v>
      </c>
      <c r="F79" s="11">
        <f t="shared" si="9"/>
        <v>2049</v>
      </c>
      <c r="G79" s="11"/>
      <c r="H79" s="66"/>
      <c r="I79" s="66"/>
      <c r="J79" s="66"/>
      <c r="K79" s="66"/>
      <c r="L79" s="10"/>
      <c r="M79" s="11">
        <f t="shared" si="10"/>
        <v>23</v>
      </c>
      <c r="N79" s="11">
        <f t="shared" si="10"/>
        <v>2049</v>
      </c>
      <c r="O79" s="66">
        <f t="shared" si="3"/>
        <v>155330.14604101612</v>
      </c>
      <c r="P79" s="66">
        <f t="shared" si="4"/>
        <v>151114.063664769</v>
      </c>
      <c r="Q79" s="66">
        <f t="shared" si="5"/>
        <v>4216.0823762471255</v>
      </c>
      <c r="R79" s="66">
        <f t="shared" si="6"/>
        <v>2.5320332497358322E-9</v>
      </c>
      <c r="S79" s="138"/>
    </row>
    <row r="80" spans="1:19" ht="15.75" x14ac:dyDescent="0.25">
      <c r="A80" s="139"/>
      <c r="B80" s="1"/>
      <c r="C80" s="1"/>
      <c r="D80" s="1"/>
      <c r="E80" s="11">
        <f t="shared" si="9"/>
        <v>24</v>
      </c>
      <c r="F80" s="11">
        <f t="shared" si="9"/>
        <v>2050</v>
      </c>
      <c r="G80" s="11"/>
      <c r="H80" s="66"/>
      <c r="I80" s="66"/>
      <c r="J80" s="66"/>
      <c r="K80" s="66"/>
      <c r="L80" s="10"/>
      <c r="M80" s="11">
        <f t="shared" si="10"/>
        <v>24</v>
      </c>
      <c r="N80" s="11">
        <f t="shared" si="10"/>
        <v>2050</v>
      </c>
      <c r="O80" s="66">
        <f t="shared" si="3"/>
        <v>0</v>
      </c>
      <c r="P80" s="66">
        <f t="shared" si="4"/>
        <v>0</v>
      </c>
      <c r="Q80" s="66">
        <f t="shared" si="5"/>
        <v>0</v>
      </c>
      <c r="R80" s="66">
        <f t="shared" si="6"/>
        <v>0</v>
      </c>
      <c r="S80" s="138"/>
    </row>
    <row r="81" spans="1:19" ht="15.75" x14ac:dyDescent="0.25">
      <c r="A81" s="139"/>
      <c r="B81" s="1"/>
      <c r="C81" s="1"/>
      <c r="D81" s="1"/>
      <c r="E81" s="11">
        <f t="shared" si="9"/>
        <v>25</v>
      </c>
      <c r="F81" s="11">
        <f t="shared" si="9"/>
        <v>2051</v>
      </c>
      <c r="G81" s="11"/>
      <c r="H81" s="66"/>
      <c r="I81" s="66"/>
      <c r="J81" s="66"/>
      <c r="K81" s="66"/>
      <c r="L81" s="10"/>
      <c r="M81" s="11">
        <f t="shared" si="10"/>
        <v>25</v>
      </c>
      <c r="N81" s="11">
        <f t="shared" si="10"/>
        <v>2051</v>
      </c>
      <c r="O81" s="66">
        <f t="shared" si="3"/>
        <v>0</v>
      </c>
      <c r="P81" s="66">
        <f t="shared" si="4"/>
        <v>0</v>
      </c>
      <c r="Q81" s="66">
        <f t="shared" si="5"/>
        <v>0</v>
      </c>
      <c r="R81" s="66">
        <f t="shared" si="6"/>
        <v>0</v>
      </c>
      <c r="S81" s="138"/>
    </row>
    <row r="82" spans="1:19" ht="15.75" x14ac:dyDescent="0.25">
      <c r="A82" s="139"/>
      <c r="B82" s="1"/>
      <c r="C82" s="1"/>
      <c r="D82" s="1"/>
      <c r="E82" s="11">
        <f t="shared" si="9"/>
        <v>26</v>
      </c>
      <c r="F82" s="11">
        <f t="shared" si="9"/>
        <v>2052</v>
      </c>
      <c r="G82" s="11"/>
      <c r="H82" s="66"/>
      <c r="I82" s="66"/>
      <c r="J82" s="66"/>
      <c r="K82" s="66"/>
      <c r="L82" s="10"/>
      <c r="M82" s="11">
        <f t="shared" si="10"/>
        <v>26</v>
      </c>
      <c r="N82" s="11">
        <f t="shared" si="10"/>
        <v>2052</v>
      </c>
      <c r="O82" s="66">
        <f t="shared" si="3"/>
        <v>0</v>
      </c>
      <c r="P82" s="66">
        <f t="shared" si="4"/>
        <v>0</v>
      </c>
      <c r="Q82" s="66">
        <f t="shared" si="5"/>
        <v>0</v>
      </c>
      <c r="R82" s="66">
        <f t="shared" si="6"/>
        <v>0</v>
      </c>
      <c r="S82" s="138"/>
    </row>
    <row r="83" spans="1:19" ht="15.75" x14ac:dyDescent="0.25">
      <c r="A83" s="139"/>
      <c r="B83" s="1"/>
      <c r="C83" s="1"/>
      <c r="D83" s="1"/>
      <c r="E83" s="11">
        <f t="shared" si="9"/>
        <v>27</v>
      </c>
      <c r="F83" s="11">
        <f t="shared" si="9"/>
        <v>2053</v>
      </c>
      <c r="G83" s="11"/>
      <c r="H83" s="66"/>
      <c r="I83" s="66"/>
      <c r="J83" s="66"/>
      <c r="K83" s="66"/>
      <c r="L83" s="10"/>
      <c r="M83" s="11">
        <f t="shared" si="10"/>
        <v>27</v>
      </c>
      <c r="N83" s="11">
        <f t="shared" si="10"/>
        <v>2053</v>
      </c>
      <c r="O83" s="66">
        <f t="shared" si="3"/>
        <v>0</v>
      </c>
      <c r="P83" s="66">
        <f t="shared" si="4"/>
        <v>0</v>
      </c>
      <c r="Q83" s="66">
        <f t="shared" si="5"/>
        <v>0</v>
      </c>
      <c r="R83" s="66">
        <f t="shared" si="6"/>
        <v>0</v>
      </c>
      <c r="S83" s="138"/>
    </row>
    <row r="84" spans="1:19" ht="15.75" x14ac:dyDescent="0.25">
      <c r="A84" s="139"/>
      <c r="B84" s="1"/>
      <c r="C84" s="1"/>
      <c r="D84" s="1"/>
      <c r="E84" s="11">
        <f t="shared" si="9"/>
        <v>28</v>
      </c>
      <c r="F84" s="11">
        <f t="shared" si="9"/>
        <v>2054</v>
      </c>
      <c r="G84" s="11"/>
      <c r="H84" s="66"/>
      <c r="I84" s="66"/>
      <c r="J84" s="66"/>
      <c r="K84" s="66"/>
      <c r="L84" s="10"/>
      <c r="M84" s="11">
        <f t="shared" si="10"/>
        <v>28</v>
      </c>
      <c r="N84" s="11">
        <f t="shared" si="10"/>
        <v>2054</v>
      </c>
      <c r="O84" s="66">
        <f t="shared" si="3"/>
        <v>0</v>
      </c>
      <c r="P84" s="66">
        <f t="shared" si="4"/>
        <v>0</v>
      </c>
      <c r="Q84" s="66">
        <f t="shared" si="5"/>
        <v>0</v>
      </c>
      <c r="R84" s="66">
        <f t="shared" si="6"/>
        <v>0</v>
      </c>
      <c r="S84" s="138"/>
    </row>
    <row r="85" spans="1:19" ht="15.75" x14ac:dyDescent="0.25">
      <c r="A85" s="139"/>
      <c r="B85" s="1"/>
      <c r="C85" s="1"/>
      <c r="D85" s="1"/>
      <c r="E85" s="11">
        <f t="shared" si="9"/>
        <v>29</v>
      </c>
      <c r="F85" s="11">
        <f t="shared" si="9"/>
        <v>2055</v>
      </c>
      <c r="G85" s="11"/>
      <c r="H85" s="66"/>
      <c r="I85" s="66"/>
      <c r="J85" s="66"/>
      <c r="K85" s="66"/>
      <c r="L85" s="10"/>
      <c r="M85" s="11">
        <f t="shared" si="10"/>
        <v>29</v>
      </c>
      <c r="N85" s="11">
        <f t="shared" si="10"/>
        <v>2055</v>
      </c>
      <c r="O85" s="66">
        <f t="shared" si="3"/>
        <v>0</v>
      </c>
      <c r="P85" s="66">
        <f t="shared" si="4"/>
        <v>0</v>
      </c>
      <c r="Q85" s="66">
        <f t="shared" si="5"/>
        <v>0</v>
      </c>
      <c r="R85" s="66">
        <f t="shared" si="6"/>
        <v>0</v>
      </c>
      <c r="S85" s="138"/>
    </row>
    <row r="86" spans="1:19" ht="15.75" x14ac:dyDescent="0.25">
      <c r="A86" s="139"/>
      <c r="B86" s="1"/>
      <c r="C86" s="1"/>
      <c r="D86" s="1"/>
      <c r="E86" s="11">
        <f t="shared" si="9"/>
        <v>30</v>
      </c>
      <c r="F86" s="11">
        <f t="shared" si="9"/>
        <v>2056</v>
      </c>
      <c r="G86" s="11"/>
      <c r="H86" s="66"/>
      <c r="I86" s="66"/>
      <c r="J86" s="66"/>
      <c r="K86" s="66"/>
      <c r="L86" s="10"/>
      <c r="M86" s="11">
        <f t="shared" si="10"/>
        <v>30</v>
      </c>
      <c r="N86" s="11">
        <f t="shared" si="10"/>
        <v>2056</v>
      </c>
      <c r="O86" s="66">
        <f t="shared" si="3"/>
        <v>0</v>
      </c>
      <c r="P86" s="66">
        <f t="shared" si="4"/>
        <v>0</v>
      </c>
      <c r="Q86" s="66">
        <f t="shared" si="5"/>
        <v>0</v>
      </c>
      <c r="R86" s="66">
        <f t="shared" si="6"/>
        <v>0</v>
      </c>
      <c r="S86" s="138"/>
    </row>
    <row r="87" spans="1:19" x14ac:dyDescent="0.25">
      <c r="A87" s="138"/>
      <c r="B87" s="1"/>
      <c r="C87" s="1"/>
      <c r="D87" s="1"/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</row>
    <row r="88" spans="1:19" x14ac:dyDescent="0.25">
      <c r="A88" s="138"/>
      <c r="B88" s="1"/>
      <c r="C88" s="1"/>
      <c r="D88" s="1"/>
      <c r="E88" s="138"/>
      <c r="F88" s="138"/>
      <c r="G88" s="138"/>
      <c r="H88" s="138"/>
      <c r="I88" s="138"/>
      <c r="J88" s="138"/>
      <c r="K88" s="138"/>
      <c r="L88" s="138"/>
      <c r="M88" s="138"/>
      <c r="N88" s="138"/>
      <c r="O88" s="138"/>
      <c r="P88" s="138"/>
      <c r="Q88" s="138"/>
      <c r="R88" s="138"/>
      <c r="S88" s="138"/>
    </row>
    <row r="89" spans="1:19" x14ac:dyDescent="0.25">
      <c r="A89" s="138"/>
      <c r="B89" s="1"/>
      <c r="C89" s="1"/>
      <c r="D89" s="1"/>
      <c r="E89" s="138"/>
      <c r="F89" s="138"/>
      <c r="G89" s="138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</row>
    <row r="90" spans="1:19" x14ac:dyDescent="0.25">
      <c r="A90" s="138"/>
      <c r="B90" s="1"/>
      <c r="C90" s="1"/>
      <c r="D90" s="1"/>
      <c r="E90" s="138"/>
      <c r="F90" s="138"/>
      <c r="G90" s="138"/>
      <c r="H90" s="138"/>
      <c r="I90" s="138"/>
      <c r="J90" s="138"/>
      <c r="K90" s="138"/>
      <c r="L90" s="138"/>
      <c r="M90" s="138"/>
      <c r="N90" s="138"/>
      <c r="O90" s="138"/>
      <c r="P90" s="138"/>
      <c r="Q90" s="138"/>
      <c r="R90" s="138"/>
      <c r="S90" s="138"/>
    </row>
    <row r="91" spans="1:19" x14ac:dyDescent="0.25">
      <c r="A91" s="138"/>
      <c r="B91" s="1"/>
      <c r="C91" s="1"/>
      <c r="D91" s="1"/>
      <c r="E91" s="138"/>
      <c r="F91" s="138"/>
      <c r="G91" s="138"/>
      <c r="H91" s="138"/>
      <c r="I91" s="138"/>
      <c r="J91" s="138"/>
      <c r="K91" s="138"/>
      <c r="L91" s="138"/>
      <c r="M91" s="138"/>
      <c r="N91" s="138"/>
      <c r="O91" s="138"/>
      <c r="P91" s="138"/>
      <c r="Q91" s="138"/>
      <c r="R91" s="138"/>
      <c r="S91" s="138"/>
    </row>
    <row r="92" spans="1:19" x14ac:dyDescent="0.25">
      <c r="A92" s="138"/>
      <c r="B92" s="1"/>
      <c r="C92" s="1"/>
      <c r="D92" s="1"/>
      <c r="E92" s="138"/>
      <c r="F92" s="138"/>
      <c r="G92" s="138"/>
      <c r="H92" s="138"/>
      <c r="I92" s="138"/>
      <c r="J92" s="138"/>
      <c r="K92" s="138"/>
      <c r="L92" s="138"/>
      <c r="M92" s="138"/>
      <c r="N92" s="138"/>
      <c r="O92" s="138"/>
      <c r="P92" s="138"/>
      <c r="Q92" s="138"/>
      <c r="R92" s="138"/>
      <c r="S92" s="138"/>
    </row>
    <row r="93" spans="1:19" x14ac:dyDescent="0.25">
      <c r="A93" s="138"/>
      <c r="B93" s="1"/>
      <c r="C93" s="1"/>
      <c r="D93" s="1"/>
      <c r="E93" s="138"/>
      <c r="F93" s="138"/>
      <c r="G93" s="138"/>
      <c r="H93" s="138"/>
      <c r="I93" s="138"/>
      <c r="J93" s="138"/>
      <c r="K93" s="138"/>
      <c r="L93" s="138"/>
      <c r="M93" s="138"/>
      <c r="N93" s="138"/>
      <c r="O93" s="138"/>
      <c r="P93" s="138"/>
      <c r="Q93" s="138"/>
      <c r="R93" s="138"/>
      <c r="S93" s="138"/>
    </row>
    <row r="94" spans="1:19" x14ac:dyDescent="0.25">
      <c r="A94" s="138"/>
      <c r="B94" s="1"/>
      <c r="C94" s="1"/>
      <c r="D94" s="1"/>
      <c r="E94" s="138"/>
      <c r="F94" s="138"/>
      <c r="G94" s="138"/>
      <c r="H94" s="138"/>
      <c r="I94" s="138"/>
      <c r="J94" s="138"/>
      <c r="K94" s="138"/>
      <c r="L94" s="138"/>
      <c r="M94" s="138"/>
      <c r="N94" s="138"/>
      <c r="O94" s="138"/>
      <c r="P94" s="138"/>
      <c r="Q94" s="138"/>
      <c r="R94" s="138"/>
      <c r="S94" s="138"/>
    </row>
    <row r="95" spans="1:19" x14ac:dyDescent="0.25">
      <c r="A95" s="138"/>
      <c r="B95" s="1"/>
      <c r="C95" s="1"/>
      <c r="D95" s="1"/>
      <c r="E95" s="138"/>
      <c r="F95" s="138"/>
      <c r="G95" s="138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38"/>
      <c r="S95" s="138"/>
    </row>
    <row r="96" spans="1:19" x14ac:dyDescent="0.25">
      <c r="B96" s="138"/>
      <c r="C96" s="138"/>
      <c r="D96" s="138"/>
    </row>
    <row r="97" spans="2:4" x14ac:dyDescent="0.25">
      <c r="B97" s="138"/>
      <c r="C97" s="138"/>
      <c r="D97" s="138"/>
    </row>
    <row r="98" spans="2:4" x14ac:dyDescent="0.25">
      <c r="B98" s="138"/>
      <c r="C98" s="138"/>
      <c r="D98" s="138"/>
    </row>
    <row r="99" spans="2:4" x14ac:dyDescent="0.25">
      <c r="B99" s="138"/>
      <c r="C99" s="138"/>
      <c r="D99" s="138"/>
    </row>
    <row r="100" spans="2:4" x14ac:dyDescent="0.25">
      <c r="B100" s="138"/>
      <c r="C100" s="138"/>
      <c r="D100" s="138"/>
    </row>
    <row r="101" spans="2:4" x14ac:dyDescent="0.25">
      <c r="B101" s="138"/>
      <c r="C101" s="138"/>
      <c r="D101" s="138"/>
    </row>
    <row r="102" spans="2:4" x14ac:dyDescent="0.25">
      <c r="B102" s="138"/>
      <c r="C102" s="138"/>
      <c r="D102" s="138"/>
    </row>
    <row r="103" spans="2:4" x14ac:dyDescent="0.25">
      <c r="B103" s="138"/>
      <c r="C103" s="138"/>
      <c r="D103" s="138"/>
    </row>
    <row r="104" spans="2:4" x14ac:dyDescent="0.25">
      <c r="B104" s="138"/>
      <c r="C104" s="138"/>
      <c r="D104" s="138"/>
    </row>
  </sheetData>
  <conditionalFormatting sqref="C5">
    <cfRule type="expression" dxfId="70" priority="26" stopIfTrue="1">
      <formula>SEARCH("Extra-Budget",#REF!)&gt;0</formula>
    </cfRule>
    <cfRule type="expression" dxfId="69" priority="27" stopIfTrue="1">
      <formula>SEARCH("Autorizzato",#REF!)&gt;0</formula>
    </cfRule>
    <cfRule type="expression" dxfId="68" priority="28" stopIfTrue="1">
      <formula>SEARCH("Nuovo",#REF!)&gt;0</formula>
    </cfRule>
  </conditionalFormatting>
  <conditionalFormatting sqref="C7:C11">
    <cfRule type="expression" dxfId="67" priority="23" stopIfTrue="1">
      <formula>SEARCH("Extra-Budget",#REF!)&gt;0</formula>
    </cfRule>
    <cfRule type="expression" dxfId="66" priority="24" stopIfTrue="1">
      <formula>SEARCH("Autorizzato",#REF!)&gt;0</formula>
    </cfRule>
    <cfRule type="expression" dxfId="65" priority="25" stopIfTrue="1">
      <formula>SEARCH("Nuovo",#REF!)&gt;0</formula>
    </cfRule>
  </conditionalFormatting>
  <conditionalFormatting sqref="C66:C67">
    <cfRule type="expression" dxfId="64" priority="17" stopIfTrue="1">
      <formula>SEARCH("Extra-Budget",#REF!)&gt;0</formula>
    </cfRule>
    <cfRule type="expression" dxfId="63" priority="18" stopIfTrue="1">
      <formula>SEARCH("Autorizzato",#REF!)&gt;0</formula>
    </cfRule>
    <cfRule type="expression" dxfId="62" priority="19" stopIfTrue="1">
      <formula>SEARCH("Nuovo",#REF!)&gt;0</formula>
    </cfRule>
  </conditionalFormatting>
  <conditionalFormatting sqref="C69:C74">
    <cfRule type="expression" dxfId="61" priority="6" stopIfTrue="1">
      <formula>SEARCH("Extra-Budget",#REF!)&gt;0</formula>
    </cfRule>
    <cfRule type="expression" dxfId="60" priority="7" stopIfTrue="1">
      <formula>SEARCH("Autorizzato",#REF!)&gt;0</formula>
    </cfRule>
    <cfRule type="expression" dxfId="59" priority="8" stopIfTrue="1">
      <formula>SEARCH("Nuovo",#REF!)&gt;0</formula>
    </cfRule>
  </conditionalFormatting>
  <conditionalFormatting sqref="K10:K11">
    <cfRule type="expression" dxfId="58" priority="15">
      <formula>($I$11&gt;$I$12)</formula>
    </cfRule>
  </conditionalFormatting>
  <conditionalFormatting sqref="K14">
    <cfRule type="expression" dxfId="57" priority="3">
      <formula>($I$14&gt;=0)</formula>
    </cfRule>
    <cfRule type="expression" dxfId="56" priority="13">
      <formula>($I$14&lt;0)</formula>
    </cfRule>
  </conditionalFormatting>
  <conditionalFormatting sqref="K15 J31:J32">
    <cfRule type="expression" dxfId="55" priority="87">
      <formula>($I$15&lt;$C$44)</formula>
    </cfRule>
    <cfRule type="expression" dxfId="54" priority="88">
      <formula>($I$15&gt;=$C$44)</formula>
    </cfRule>
  </conditionalFormatting>
  <conditionalFormatting sqref="K16">
    <cfRule type="expression" dxfId="53" priority="4">
      <formula>($I$16&lt;0)</formula>
    </cfRule>
    <cfRule type="expression" dxfId="52" priority="14">
      <formula>($I$16&gt;=0)</formula>
    </cfRule>
  </conditionalFormatting>
  <conditionalFormatting sqref="K17">
    <cfRule type="expression" dxfId="51" priority="91">
      <formula>($I$17&gt;=$C$45)</formula>
    </cfRule>
    <cfRule type="expression" dxfId="50" priority="92">
      <formula>($I$17&lt;$C$45)</formula>
    </cfRule>
  </conditionalFormatting>
  <conditionalFormatting sqref="K18">
    <cfRule type="expression" dxfId="49" priority="11">
      <formula>($I$18&lt;1)</formula>
    </cfRule>
    <cfRule type="expression" dxfId="48" priority="12">
      <formula>($I$18&gt;=1)</formula>
    </cfRule>
  </conditionalFormatting>
  <conditionalFormatting sqref="K19">
    <cfRule type="expression" dxfId="47" priority="9">
      <formula>($I$19&lt;1)</formula>
    </cfRule>
    <cfRule type="expression" dxfId="46" priority="10">
      <formula>($I$19&gt;=1)</formula>
    </cfRule>
  </conditionalFormatting>
  <conditionalFormatting sqref="K10:N11">
    <cfRule type="expression" dxfId="45" priority="16">
      <formula>($I$11&lt;=$I$12)</formula>
    </cfRule>
  </conditionalFormatting>
  <conditionalFormatting sqref="N29">
    <cfRule type="expression" dxfId="44" priority="29">
      <formula>(ABS($M$29-$M$28)&gt;0.1)</formula>
    </cfRule>
    <cfRule type="expression" dxfId="43" priority="30">
      <formula>(ABS($M$29-$M$28)&lt;=0.1)</formula>
    </cfRule>
  </conditionalFormatting>
  <dataValidations disablePrompts="1" count="4">
    <dataValidation type="list" allowBlank="1" showInputMessage="1" showErrorMessage="1" sqref="C66" xr:uid="{00000000-0002-0000-0000-000000000000}">
      <formula1>$AE$1:$AE$46</formula1>
    </dataValidation>
    <dataValidation type="list" allowBlank="1" showInputMessage="1" showErrorMessage="1" sqref="C67 C69:C71" xr:uid="{00000000-0002-0000-0000-000001000000}">
      <formula1>#REF!</formula1>
    </dataValidation>
    <dataValidation type="list" allowBlank="1" showInputMessage="1" showErrorMessage="1" sqref="C72:C74" xr:uid="{00000000-0002-0000-0000-000002000000}">
      <formula1>"Si,No"</formula1>
    </dataValidation>
    <dataValidation type="list" allowBlank="1" showInputMessage="1" showErrorMessage="1" sqref="C5" xr:uid="{00000000-0002-0000-0000-000003000000}">
      <formula1>"Autorizz. Inv. a Budget,Richiesta Extra-Budget,Richiesta Extra-Autorizzato,Nuovo Investimento non previsto"</formula1>
    </dataValidation>
  </dataValidations>
  <pageMargins left="7.874015748031496E-2" right="7.874015748031496E-2" top="0.59055118110236227" bottom="0.27559055118110237" header="7.874015748031496E-2" footer="7.874015748031496E-2"/>
  <pageSetup paperSize="8" scale="45" orientation="landscape" r:id="rId1"/>
  <ignoredErrors>
    <ignoredError sqref="H5 D6:E6 H10 P24:R25 C23:D23 E53:G53 F13:H13 N25:O27 O28:O29 L25:M29 R13 M6:O6 E37:E40 N16:R17 E50:G51 K53:L53 H32:I33 E46:E49 G37:G49 M11:O11 K25 K33 K38:K45 L10:N10 K13 K5:L6 L14:L15 I54 R57:S57 I45:J46 I58:I60 K56:R56 L57:N57 C66:C69 C65:D65 B65:B96 H59:H60 L55:R55 I34:J34 K54:K55 H11:I11 I39:J41 C52 E14 J35:J38 E57:F60 M58:S76 L22:R22 I14:I21 H27:H31 G14 M18:N18 P18:R18 G6 P27:R29 P26:Q26 I29:I30 O7 Q10:R12 Q14:R15 D17:D19 G18:G19 F15:G17 N12:O15 L17:L18 K7 H23:R23 G22:G23 D73 C74:D96 K77:S87 B64:D64 C70:D72 K59:K76 K11:L12 L19:R19 G30:G35 C10:G11 E26:G29 D24:O24 D25:H25 D7:G7 D12:G12 J52:J55 E32:E35 E61:J87 E55:I56 E30 C41 Q6:R7" unlockedFormula="1"/>
    <ignoredError sqref="J30 K26:K28 J32:J33 K31:K32 J29:K29" formula="1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>
    <tabColor theme="3" tint="0.59999389629810485"/>
    <pageSetUpPr fitToPage="1"/>
  </sheetPr>
  <dimension ref="A1:BP53"/>
  <sheetViews>
    <sheetView zoomScale="90" zoomScaleNormal="90" workbookViewId="0">
      <selection activeCell="BK13" sqref="BK13"/>
    </sheetView>
  </sheetViews>
  <sheetFormatPr defaultRowHeight="15" x14ac:dyDescent="0.25"/>
  <cols>
    <col min="1" max="1" width="5.7109375" customWidth="1"/>
    <col min="2" max="60" width="3.28515625" customWidth="1"/>
    <col min="61" max="61" width="5.7109375" customWidth="1"/>
  </cols>
  <sheetData>
    <row r="1" spans="1:68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</row>
    <row r="2" spans="1:68" ht="21" customHeight="1" x14ac:dyDescent="0.25">
      <c r="A2" s="144"/>
      <c r="B2" s="705" t="s">
        <v>106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  <c r="AF2" s="706"/>
      <c r="AG2" s="706"/>
      <c r="AH2" s="706"/>
      <c r="AI2" s="706"/>
      <c r="AJ2" s="706"/>
      <c r="AK2" s="706"/>
      <c r="AL2" s="706"/>
      <c r="AM2" s="706"/>
      <c r="AN2" s="706"/>
      <c r="AO2" s="706"/>
      <c r="AP2" s="706"/>
      <c r="AQ2" s="706"/>
      <c r="AR2" s="706"/>
      <c r="AS2" s="706"/>
      <c r="AT2" s="706"/>
      <c r="AU2" s="706"/>
      <c r="AV2" s="706"/>
      <c r="AW2" s="706"/>
      <c r="AX2" s="706"/>
      <c r="AY2" s="706"/>
      <c r="AZ2" s="706"/>
      <c r="BA2" s="706"/>
      <c r="BB2" s="706"/>
      <c r="BC2" s="706"/>
      <c r="BD2" s="706"/>
      <c r="BE2" s="706"/>
      <c r="BF2" s="706"/>
      <c r="BG2" s="706"/>
      <c r="BH2" s="707"/>
      <c r="BI2" s="4"/>
    </row>
    <row r="3" spans="1:68" ht="15" customHeight="1" x14ac:dyDescent="0.25">
      <c r="A3" s="133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  <c r="BB3" s="135"/>
      <c r="BC3" s="135"/>
      <c r="BD3" s="135"/>
      <c r="BE3" s="135"/>
      <c r="BF3" s="135"/>
      <c r="BG3" s="135"/>
      <c r="BH3" s="135"/>
      <c r="BI3" s="4"/>
      <c r="BK3" s="145"/>
    </row>
    <row r="4" spans="1:68" ht="15" customHeight="1" x14ac:dyDescent="0.25">
      <c r="A4" s="133"/>
      <c r="B4" s="146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8"/>
      <c r="V4" s="135"/>
      <c r="W4" s="146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  <c r="AP4" s="148"/>
      <c r="AQ4" s="135"/>
      <c r="AR4" s="146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8"/>
      <c r="BI4" s="4"/>
      <c r="BK4" s="145"/>
    </row>
    <row r="5" spans="1:68" ht="15" customHeight="1" x14ac:dyDescent="0.25">
      <c r="A5" s="133"/>
      <c r="B5" s="149"/>
      <c r="C5" s="699"/>
      <c r="D5" s="699"/>
      <c r="E5" s="699"/>
      <c r="F5" s="699"/>
      <c r="G5" s="699"/>
      <c r="H5" s="699"/>
      <c r="I5" s="699"/>
      <c r="J5" s="699"/>
      <c r="K5" s="699"/>
      <c r="L5" s="699"/>
      <c r="M5" s="699"/>
      <c r="N5" s="699"/>
      <c r="O5" s="699"/>
      <c r="P5" s="135"/>
      <c r="Q5" s="135"/>
      <c r="R5" s="135"/>
      <c r="S5" s="150"/>
      <c r="T5" s="151"/>
      <c r="U5" s="152"/>
      <c r="V5" s="135"/>
      <c r="W5" s="149"/>
      <c r="X5" s="703" t="s">
        <v>89</v>
      </c>
      <c r="Y5" s="703"/>
      <c r="Z5" s="703"/>
      <c r="AA5" s="703"/>
      <c r="AB5" s="703"/>
      <c r="AC5" s="704"/>
      <c r="AD5" s="153" t="str">
        <f>IN!C66</f>
        <v>Hera Luce</v>
      </c>
      <c r="AE5" s="154"/>
      <c r="AF5" s="154"/>
      <c r="AG5" s="154"/>
      <c r="AH5" s="154"/>
      <c r="AI5" s="154"/>
      <c r="AJ5" s="154"/>
      <c r="AK5" s="154"/>
      <c r="AL5" s="154"/>
      <c r="AM5" s="154"/>
      <c r="AN5" s="154"/>
      <c r="AO5" s="155"/>
      <c r="AP5" s="152"/>
      <c r="AQ5" s="135"/>
      <c r="AR5" s="708" t="e">
        <f>#REF!</f>
        <v>#REF!</v>
      </c>
      <c r="AS5" s="709"/>
      <c r="AT5" s="709"/>
      <c r="AU5" s="709"/>
      <c r="AV5" s="709"/>
      <c r="AW5" s="709"/>
      <c r="AX5" s="709"/>
      <c r="AY5" s="709"/>
      <c r="AZ5" s="709"/>
      <c r="BA5" s="709"/>
      <c r="BB5" s="709"/>
      <c r="BC5" s="709"/>
      <c r="BD5" s="709"/>
      <c r="BE5" s="709"/>
      <c r="BF5" s="709"/>
      <c r="BG5" s="709"/>
      <c r="BH5" s="710"/>
      <c r="BI5" s="4"/>
      <c r="BK5" s="145"/>
    </row>
    <row r="6" spans="1:68" ht="15" customHeight="1" x14ac:dyDescent="0.25">
      <c r="A6" s="133"/>
      <c r="B6" s="149"/>
      <c r="C6" s="135"/>
      <c r="D6" s="699" t="s">
        <v>107</v>
      </c>
      <c r="E6" s="699"/>
      <c r="F6" s="699"/>
      <c r="G6" s="699"/>
      <c r="H6" s="699"/>
      <c r="I6" s="699"/>
      <c r="J6" s="700" t="str">
        <f>IN!C4</f>
        <v>Comune di Lodi (LO)</v>
      </c>
      <c r="K6" s="701"/>
      <c r="L6" s="701"/>
      <c r="M6" s="701"/>
      <c r="N6" s="701"/>
      <c r="O6" s="701"/>
      <c r="P6" s="701"/>
      <c r="Q6" s="701"/>
      <c r="R6" s="701"/>
      <c r="S6" s="701"/>
      <c r="T6" s="702"/>
      <c r="U6" s="156"/>
      <c r="V6" s="135"/>
      <c r="W6" s="149"/>
      <c r="X6" s="703" t="s">
        <v>91</v>
      </c>
      <c r="Y6" s="703"/>
      <c r="Z6" s="703"/>
      <c r="AA6" s="703"/>
      <c r="AB6" s="703"/>
      <c r="AC6" s="704"/>
      <c r="AD6" s="153" t="str">
        <f>IN!C67</f>
        <v>Altri Servizi</v>
      </c>
      <c r="AE6" s="154"/>
      <c r="AF6" s="154"/>
      <c r="AG6" s="154"/>
      <c r="AH6" s="154"/>
      <c r="AI6" s="154"/>
      <c r="AJ6" s="154"/>
      <c r="AK6" s="154"/>
      <c r="AL6" s="154"/>
      <c r="AM6" s="154"/>
      <c r="AN6" s="154"/>
      <c r="AO6" s="155"/>
      <c r="AP6" s="157"/>
      <c r="AQ6" s="135"/>
      <c r="AR6" s="158"/>
      <c r="AS6" s="158"/>
      <c r="AT6" s="158"/>
      <c r="AU6" s="158"/>
      <c r="AV6" s="158"/>
      <c r="AW6" s="158"/>
      <c r="AX6" s="158"/>
      <c r="AY6" s="158"/>
      <c r="AZ6" s="158"/>
      <c r="BA6" s="158"/>
      <c r="BB6" s="158"/>
      <c r="BC6" s="158"/>
      <c r="BD6" s="158"/>
      <c r="BE6" s="158"/>
      <c r="BF6" s="158"/>
      <c r="BG6" s="158"/>
      <c r="BH6" s="158"/>
      <c r="BI6" s="4"/>
      <c r="BK6" s="145"/>
    </row>
    <row r="7" spans="1:68" ht="15" customHeight="1" x14ac:dyDescent="0.25">
      <c r="A7" s="133"/>
      <c r="B7" s="149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57"/>
      <c r="V7" s="135"/>
      <c r="W7" s="149"/>
      <c r="X7" s="703" t="s">
        <v>93</v>
      </c>
      <c r="Y7" s="703"/>
      <c r="Z7" s="703"/>
      <c r="AA7" s="703"/>
      <c r="AB7" s="703"/>
      <c r="AC7" s="704"/>
      <c r="AD7" s="153" t="str">
        <f>IN!C68</f>
        <v>Pubblica Illuminazione</v>
      </c>
      <c r="AE7" s="154"/>
      <c r="AF7" s="154"/>
      <c r="AG7" s="154"/>
      <c r="AH7" s="154"/>
      <c r="AI7" s="154"/>
      <c r="AJ7" s="154"/>
      <c r="AK7" s="154"/>
      <c r="AL7" s="154"/>
      <c r="AM7" s="154"/>
      <c r="AN7" s="154"/>
      <c r="AO7" s="155"/>
      <c r="AP7" s="152"/>
      <c r="AQ7" s="135"/>
      <c r="AR7" s="146"/>
      <c r="AS7" s="147"/>
      <c r="AT7" s="147"/>
      <c r="AU7" s="147"/>
      <c r="AV7" s="147"/>
      <c r="AW7" s="147"/>
      <c r="AX7" s="147"/>
      <c r="AY7" s="147"/>
      <c r="AZ7" s="147"/>
      <c r="BA7" s="147"/>
      <c r="BB7" s="147"/>
      <c r="BC7" s="147"/>
      <c r="BD7" s="147"/>
      <c r="BE7" s="147"/>
      <c r="BF7" s="147"/>
      <c r="BG7" s="147"/>
      <c r="BH7" s="148"/>
      <c r="BI7" s="4"/>
      <c r="BK7" s="145"/>
    </row>
    <row r="8" spans="1:68" ht="15" customHeight="1" x14ac:dyDescent="0.25">
      <c r="A8" s="133"/>
      <c r="B8" s="711" t="s">
        <v>3</v>
      </c>
      <c r="C8" s="699"/>
      <c r="D8" s="699"/>
      <c r="E8" s="699"/>
      <c r="F8" s="699"/>
      <c r="G8" s="699"/>
      <c r="H8" s="699"/>
      <c r="I8" s="712"/>
      <c r="J8" s="713" t="str">
        <f>IN!C5</f>
        <v>Autorizz. Inv. a Budget</v>
      </c>
      <c r="K8" s="714"/>
      <c r="L8" s="714"/>
      <c r="M8" s="714"/>
      <c r="N8" s="714"/>
      <c r="O8" s="714"/>
      <c r="P8" s="714"/>
      <c r="Q8" s="714"/>
      <c r="R8" s="714"/>
      <c r="S8" s="714"/>
      <c r="T8" s="715"/>
      <c r="U8" s="157"/>
      <c r="V8" s="135"/>
      <c r="W8" s="149"/>
      <c r="X8" s="703" t="s">
        <v>95</v>
      </c>
      <c r="Y8" s="703"/>
      <c r="Z8" s="703"/>
      <c r="AA8" s="703"/>
      <c r="AB8" s="703"/>
      <c r="AC8" s="704"/>
      <c r="AD8" s="153" t="str">
        <f>IN!C69</f>
        <v>Impianti</v>
      </c>
      <c r="AE8" s="154"/>
      <c r="AF8" s="154"/>
      <c r="AG8" s="154"/>
      <c r="AH8" s="154"/>
      <c r="AI8" s="154"/>
      <c r="AJ8" s="154"/>
      <c r="AK8" s="154"/>
      <c r="AL8" s="154"/>
      <c r="AM8" s="154"/>
      <c r="AN8" s="154"/>
      <c r="AO8" s="155"/>
      <c r="AP8" s="157"/>
      <c r="AQ8" s="135"/>
      <c r="AR8" s="716" t="e">
        <f>#REF!</f>
        <v>#REF!</v>
      </c>
      <c r="AS8" s="717"/>
      <c r="AT8" s="717"/>
      <c r="AU8" s="717"/>
      <c r="AV8" s="717"/>
      <c r="AW8" s="717"/>
      <c r="AX8" s="717"/>
      <c r="AY8" s="717"/>
      <c r="AZ8" s="717"/>
      <c r="BA8" s="717"/>
      <c r="BB8" s="717"/>
      <c r="BC8" s="717"/>
      <c r="BD8" s="717"/>
      <c r="BE8" s="717"/>
      <c r="BF8" s="717"/>
      <c r="BG8" s="717"/>
      <c r="BH8" s="718"/>
      <c r="BI8" s="4"/>
      <c r="BK8" s="145"/>
    </row>
    <row r="9" spans="1:68" ht="15" customHeight="1" x14ac:dyDescent="0.25">
      <c r="A9" s="133"/>
      <c r="B9" s="149"/>
      <c r="C9" s="135"/>
      <c r="D9" s="699"/>
      <c r="E9" s="699"/>
      <c r="F9" s="699"/>
      <c r="G9" s="699"/>
      <c r="H9" s="699"/>
      <c r="I9" s="699"/>
      <c r="J9" s="722"/>
      <c r="K9" s="722"/>
      <c r="L9" s="722"/>
      <c r="M9" s="722"/>
      <c r="N9" s="722"/>
      <c r="O9" s="722"/>
      <c r="P9" s="722"/>
      <c r="Q9" s="722"/>
      <c r="R9" s="722"/>
      <c r="S9" s="722"/>
      <c r="T9" s="722"/>
      <c r="U9" s="157"/>
      <c r="V9" s="135"/>
      <c r="W9" s="149"/>
      <c r="X9" s="703" t="s">
        <v>97</v>
      </c>
      <c r="Y9" s="703"/>
      <c r="Z9" s="703"/>
      <c r="AA9" s="703"/>
      <c r="AB9" s="703"/>
      <c r="AC9" s="704"/>
      <c r="AD9" s="153" t="str">
        <f>IN!C70</f>
        <v>Nuove Opere/Iniziat.</v>
      </c>
      <c r="AE9" s="154"/>
      <c r="AF9" s="154"/>
      <c r="AG9" s="154"/>
      <c r="AH9" s="154"/>
      <c r="AI9" s="154"/>
      <c r="AJ9" s="154"/>
      <c r="AK9" s="154"/>
      <c r="AL9" s="154"/>
      <c r="AM9" s="154"/>
      <c r="AN9" s="154"/>
      <c r="AO9" s="155"/>
      <c r="AP9" s="157"/>
      <c r="AQ9" s="135"/>
      <c r="AR9" s="716"/>
      <c r="AS9" s="717"/>
      <c r="AT9" s="717"/>
      <c r="AU9" s="717"/>
      <c r="AV9" s="717"/>
      <c r="AW9" s="717"/>
      <c r="AX9" s="717"/>
      <c r="AY9" s="717"/>
      <c r="AZ9" s="717"/>
      <c r="BA9" s="717"/>
      <c r="BB9" s="717"/>
      <c r="BC9" s="717"/>
      <c r="BD9" s="717"/>
      <c r="BE9" s="717"/>
      <c r="BF9" s="717"/>
      <c r="BG9" s="717"/>
      <c r="BH9" s="718"/>
      <c r="BI9" s="4"/>
      <c r="BK9" s="145"/>
      <c r="BP9" s="134"/>
    </row>
    <row r="10" spans="1:68" ht="15" customHeight="1" x14ac:dyDescent="0.25">
      <c r="A10" s="133"/>
      <c r="B10" s="149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57"/>
      <c r="V10" s="135"/>
      <c r="W10" s="149"/>
      <c r="X10" s="703" t="s">
        <v>99</v>
      </c>
      <c r="Y10" s="703"/>
      <c r="Z10" s="703"/>
      <c r="AA10" s="703"/>
      <c r="AB10" s="703"/>
      <c r="AC10" s="704"/>
      <c r="AD10" s="153" t="str">
        <f>IN!C71</f>
        <v>Ritorno Economico</v>
      </c>
      <c r="AE10" s="154"/>
      <c r="AF10" s="154"/>
      <c r="AG10" s="154"/>
      <c r="AH10" s="154"/>
      <c r="AI10" s="154"/>
      <c r="AJ10" s="154"/>
      <c r="AK10" s="154"/>
      <c r="AL10" s="154"/>
      <c r="AM10" s="154"/>
      <c r="AN10" s="154"/>
      <c r="AO10" s="155"/>
      <c r="AP10" s="157"/>
      <c r="AQ10" s="135"/>
      <c r="AR10" s="716"/>
      <c r="AS10" s="717"/>
      <c r="AT10" s="717"/>
      <c r="AU10" s="717"/>
      <c r="AV10" s="717"/>
      <c r="AW10" s="717"/>
      <c r="AX10" s="717"/>
      <c r="AY10" s="717"/>
      <c r="AZ10" s="717"/>
      <c r="BA10" s="717"/>
      <c r="BB10" s="717"/>
      <c r="BC10" s="717"/>
      <c r="BD10" s="717"/>
      <c r="BE10" s="717"/>
      <c r="BF10" s="717"/>
      <c r="BG10" s="717"/>
      <c r="BH10" s="718"/>
      <c r="BI10" s="4"/>
      <c r="BK10" s="145"/>
    </row>
    <row r="11" spans="1:68" ht="15" customHeight="1" x14ac:dyDescent="0.25">
      <c r="A11" s="133"/>
      <c r="B11" s="723" t="s">
        <v>108</v>
      </c>
      <c r="C11" s="703"/>
      <c r="D11" s="703"/>
      <c r="E11" s="703"/>
      <c r="F11" s="703"/>
      <c r="G11" s="703"/>
      <c r="H11" s="703"/>
      <c r="I11" s="704"/>
      <c r="J11" s="724" t="str">
        <f>IN!C10</f>
        <v>Alessandro Battistini</v>
      </c>
      <c r="K11" s="701"/>
      <c r="L11" s="701"/>
      <c r="M11" s="701"/>
      <c r="N11" s="701"/>
      <c r="O11" s="701"/>
      <c r="P11" s="701"/>
      <c r="Q11" s="701"/>
      <c r="R11" s="701"/>
      <c r="S11" s="701"/>
      <c r="T11" s="702"/>
      <c r="U11" s="157"/>
      <c r="V11" s="135"/>
      <c r="W11" s="149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/>
      <c r="AJ11" s="135"/>
      <c r="AK11" s="135"/>
      <c r="AL11" s="135"/>
      <c r="AM11" s="135"/>
      <c r="AN11" s="135"/>
      <c r="AO11" s="135"/>
      <c r="AP11" s="157"/>
      <c r="AQ11" s="135"/>
      <c r="AR11" s="716"/>
      <c r="AS11" s="717"/>
      <c r="AT11" s="717"/>
      <c r="AU11" s="717"/>
      <c r="AV11" s="717"/>
      <c r="AW11" s="717"/>
      <c r="AX11" s="717"/>
      <c r="AY11" s="717"/>
      <c r="AZ11" s="717"/>
      <c r="BA11" s="717"/>
      <c r="BB11" s="717"/>
      <c r="BC11" s="717"/>
      <c r="BD11" s="717"/>
      <c r="BE11" s="717"/>
      <c r="BF11" s="717"/>
      <c r="BG11" s="717"/>
      <c r="BH11" s="718"/>
      <c r="BI11" s="4"/>
      <c r="BK11" s="145"/>
    </row>
    <row r="12" spans="1:68" ht="15" customHeight="1" x14ac:dyDescent="0.25">
      <c r="A12" s="133"/>
      <c r="B12" s="723" t="s">
        <v>109</v>
      </c>
      <c r="C12" s="703"/>
      <c r="D12" s="703"/>
      <c r="E12" s="703"/>
      <c r="F12" s="703"/>
      <c r="G12" s="703"/>
      <c r="H12" s="703"/>
      <c r="I12" s="704"/>
      <c r="J12" s="724" t="str">
        <f>IN!C11</f>
        <v>Alessandro Battistini</v>
      </c>
      <c r="K12" s="701"/>
      <c r="L12" s="701"/>
      <c r="M12" s="701"/>
      <c r="N12" s="701"/>
      <c r="O12" s="701"/>
      <c r="P12" s="701"/>
      <c r="Q12" s="701"/>
      <c r="R12" s="701"/>
      <c r="S12" s="701"/>
      <c r="T12" s="702"/>
      <c r="U12" s="157"/>
      <c r="V12" s="135"/>
      <c r="W12" s="149"/>
      <c r="X12" s="725" t="s">
        <v>110</v>
      </c>
      <c r="Y12" s="725"/>
      <c r="Z12" s="725"/>
      <c r="AA12" s="725"/>
      <c r="AB12" s="725"/>
      <c r="AC12" s="725"/>
      <c r="AD12" s="703" t="s">
        <v>103</v>
      </c>
      <c r="AE12" s="703"/>
      <c r="AF12" s="703"/>
      <c r="AG12" s="703"/>
      <c r="AH12" s="703"/>
      <c r="AI12" s="703"/>
      <c r="AJ12" s="703"/>
      <c r="AK12" s="703"/>
      <c r="AL12" s="703"/>
      <c r="AM12" s="704"/>
      <c r="AN12" s="724" t="str">
        <f>IN!C73</f>
        <v>Si</v>
      </c>
      <c r="AO12" s="702"/>
      <c r="AP12" s="157"/>
      <c r="AQ12" s="135"/>
      <c r="AR12" s="716"/>
      <c r="AS12" s="717"/>
      <c r="AT12" s="717"/>
      <c r="AU12" s="717"/>
      <c r="AV12" s="717"/>
      <c r="AW12" s="717"/>
      <c r="AX12" s="717"/>
      <c r="AY12" s="717"/>
      <c r="AZ12" s="717"/>
      <c r="BA12" s="717"/>
      <c r="BB12" s="717"/>
      <c r="BC12" s="717"/>
      <c r="BD12" s="717"/>
      <c r="BE12" s="717"/>
      <c r="BF12" s="717"/>
      <c r="BG12" s="717"/>
      <c r="BH12" s="718"/>
      <c r="BI12" s="4"/>
      <c r="BK12" s="145"/>
    </row>
    <row r="13" spans="1:68" ht="15" customHeight="1" x14ac:dyDescent="0.25">
      <c r="A13" s="133"/>
      <c r="B13" s="726" t="s">
        <v>111</v>
      </c>
      <c r="C13" s="727"/>
      <c r="D13" s="727"/>
      <c r="E13" s="727"/>
      <c r="F13" s="727"/>
      <c r="G13" s="727"/>
      <c r="H13" s="727"/>
      <c r="I13" s="728"/>
      <c r="J13" s="724">
        <f>IN!C7</f>
        <v>46079</v>
      </c>
      <c r="K13" s="701"/>
      <c r="L13" s="701"/>
      <c r="M13" s="701"/>
      <c r="N13" s="701"/>
      <c r="O13" s="701"/>
      <c r="P13" s="701"/>
      <c r="Q13" s="701"/>
      <c r="R13" s="701"/>
      <c r="S13" s="701"/>
      <c r="T13" s="702"/>
      <c r="U13" s="157"/>
      <c r="V13" s="135"/>
      <c r="W13" s="149"/>
      <c r="X13" s="729" t="s">
        <v>112</v>
      </c>
      <c r="Y13" s="729"/>
      <c r="Z13" s="729"/>
      <c r="AA13" s="724" t="str">
        <f>IN!C72</f>
        <v>No</v>
      </c>
      <c r="AB13" s="702"/>
      <c r="AC13" s="135"/>
      <c r="AD13" s="703" t="s">
        <v>105</v>
      </c>
      <c r="AE13" s="703"/>
      <c r="AF13" s="703"/>
      <c r="AG13" s="703"/>
      <c r="AH13" s="703"/>
      <c r="AI13" s="703"/>
      <c r="AJ13" s="703"/>
      <c r="AK13" s="703"/>
      <c r="AL13" s="703"/>
      <c r="AM13" s="704"/>
      <c r="AN13" s="724" t="str">
        <f>IN!C74</f>
        <v>Si</v>
      </c>
      <c r="AO13" s="702"/>
      <c r="AP13" s="157"/>
      <c r="AQ13" s="135"/>
      <c r="AR13" s="716"/>
      <c r="AS13" s="717"/>
      <c r="AT13" s="717"/>
      <c r="AU13" s="717"/>
      <c r="AV13" s="717"/>
      <c r="AW13" s="717"/>
      <c r="AX13" s="717"/>
      <c r="AY13" s="717"/>
      <c r="AZ13" s="717"/>
      <c r="BA13" s="717"/>
      <c r="BB13" s="717"/>
      <c r="BC13" s="717"/>
      <c r="BD13" s="717"/>
      <c r="BE13" s="717"/>
      <c r="BF13" s="717"/>
      <c r="BG13" s="717"/>
      <c r="BH13" s="718"/>
      <c r="BI13" s="4"/>
      <c r="BK13" s="145"/>
    </row>
    <row r="14" spans="1:68" ht="15" customHeight="1" x14ac:dyDescent="0.25">
      <c r="A14" s="133"/>
      <c r="B14" s="159"/>
      <c r="C14" s="160"/>
      <c r="D14" s="160"/>
      <c r="E14" s="160"/>
      <c r="F14" s="160"/>
      <c r="G14" s="160"/>
      <c r="H14" s="161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2"/>
      <c r="V14" s="135"/>
      <c r="W14" s="159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2"/>
      <c r="AQ14" s="135"/>
      <c r="AR14" s="716"/>
      <c r="AS14" s="717"/>
      <c r="AT14" s="717"/>
      <c r="AU14" s="717"/>
      <c r="AV14" s="717"/>
      <c r="AW14" s="717"/>
      <c r="AX14" s="717"/>
      <c r="AY14" s="717"/>
      <c r="AZ14" s="717"/>
      <c r="BA14" s="717"/>
      <c r="BB14" s="717"/>
      <c r="BC14" s="717"/>
      <c r="BD14" s="717"/>
      <c r="BE14" s="717"/>
      <c r="BF14" s="717"/>
      <c r="BG14" s="717"/>
      <c r="BH14" s="718"/>
      <c r="BI14" s="4"/>
      <c r="BK14" s="145"/>
    </row>
    <row r="15" spans="1:68" ht="15" customHeight="1" x14ac:dyDescent="0.25">
      <c r="A15" s="133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5"/>
      <c r="AO15" s="135"/>
      <c r="AP15" s="135"/>
      <c r="AQ15" s="135"/>
      <c r="AR15" s="716"/>
      <c r="AS15" s="717"/>
      <c r="AT15" s="717"/>
      <c r="AU15" s="717"/>
      <c r="AV15" s="717"/>
      <c r="AW15" s="717"/>
      <c r="AX15" s="717"/>
      <c r="AY15" s="717"/>
      <c r="AZ15" s="717"/>
      <c r="BA15" s="717"/>
      <c r="BB15" s="717"/>
      <c r="BC15" s="717"/>
      <c r="BD15" s="717"/>
      <c r="BE15" s="717"/>
      <c r="BF15" s="717"/>
      <c r="BG15" s="717"/>
      <c r="BH15" s="718"/>
      <c r="BI15" s="4"/>
      <c r="BK15" s="145"/>
    </row>
    <row r="16" spans="1:68" ht="15" customHeight="1" x14ac:dyDescent="0.25">
      <c r="A16" s="133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46"/>
      <c r="X16" s="147"/>
      <c r="Y16" s="147"/>
      <c r="Z16" s="147"/>
      <c r="AA16" s="147"/>
      <c r="AB16" s="147"/>
      <c r="AC16" s="147"/>
      <c r="AD16" s="147"/>
      <c r="AE16" s="147"/>
      <c r="AF16" s="147"/>
      <c r="AG16" s="147"/>
      <c r="AH16" s="147"/>
      <c r="AI16" s="147"/>
      <c r="AJ16" s="147"/>
      <c r="AK16" s="147"/>
      <c r="AL16" s="147"/>
      <c r="AM16" s="147"/>
      <c r="AN16" s="147"/>
      <c r="AO16" s="147"/>
      <c r="AP16" s="148"/>
      <c r="AQ16" s="135"/>
      <c r="AR16" s="716"/>
      <c r="AS16" s="717"/>
      <c r="AT16" s="717"/>
      <c r="AU16" s="717"/>
      <c r="AV16" s="717"/>
      <c r="AW16" s="717"/>
      <c r="AX16" s="717"/>
      <c r="AY16" s="717"/>
      <c r="AZ16" s="717"/>
      <c r="BA16" s="717"/>
      <c r="BB16" s="717"/>
      <c r="BC16" s="717"/>
      <c r="BD16" s="717"/>
      <c r="BE16" s="717"/>
      <c r="BF16" s="717"/>
      <c r="BG16" s="717"/>
      <c r="BH16" s="718"/>
      <c r="BI16" s="4"/>
      <c r="BK16" s="145"/>
    </row>
    <row r="17" spans="1:63" ht="15" customHeight="1" x14ac:dyDescent="0.25">
      <c r="A17" s="133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730" t="s">
        <v>113</v>
      </c>
      <c r="X17" s="731"/>
      <c r="Y17" s="731"/>
      <c r="Z17" s="731"/>
      <c r="AA17" s="731"/>
      <c r="AB17" s="731"/>
      <c r="AC17" s="731"/>
      <c r="AD17" s="731"/>
      <c r="AE17" s="731"/>
      <c r="AF17" s="731"/>
      <c r="AG17" s="731"/>
      <c r="AH17" s="135"/>
      <c r="AI17" s="732">
        <f>SUM(IN!J57:J60)</f>
        <v>5407753.2212252971</v>
      </c>
      <c r="AJ17" s="733"/>
      <c r="AK17" s="733"/>
      <c r="AL17" s="733"/>
      <c r="AM17" s="733"/>
      <c r="AN17" s="733"/>
      <c r="AO17" s="734"/>
      <c r="AP17" s="157"/>
      <c r="AQ17" s="135"/>
      <c r="AR17" s="716"/>
      <c r="AS17" s="717"/>
      <c r="AT17" s="717"/>
      <c r="AU17" s="717"/>
      <c r="AV17" s="717"/>
      <c r="AW17" s="717"/>
      <c r="AX17" s="717"/>
      <c r="AY17" s="717"/>
      <c r="AZ17" s="717"/>
      <c r="BA17" s="717"/>
      <c r="BB17" s="717"/>
      <c r="BC17" s="717"/>
      <c r="BD17" s="717"/>
      <c r="BE17" s="717"/>
      <c r="BF17" s="717"/>
      <c r="BG17" s="717"/>
      <c r="BH17" s="718"/>
      <c r="BI17" s="4"/>
      <c r="BK17" s="145"/>
    </row>
    <row r="18" spans="1:63" ht="15" customHeight="1" x14ac:dyDescent="0.25">
      <c r="A18" s="133"/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730"/>
      <c r="X18" s="731"/>
      <c r="Y18" s="731"/>
      <c r="Z18" s="731"/>
      <c r="AA18" s="731"/>
      <c r="AB18" s="731"/>
      <c r="AC18" s="731"/>
      <c r="AD18" s="731"/>
      <c r="AE18" s="731"/>
      <c r="AF18" s="731"/>
      <c r="AG18" s="731"/>
      <c r="AH18" s="135"/>
      <c r="AI18" s="735"/>
      <c r="AJ18" s="736"/>
      <c r="AK18" s="736"/>
      <c r="AL18" s="736"/>
      <c r="AM18" s="736"/>
      <c r="AN18" s="736"/>
      <c r="AO18" s="737"/>
      <c r="AP18" s="157"/>
      <c r="AQ18" s="135"/>
      <c r="AR18" s="716"/>
      <c r="AS18" s="717"/>
      <c r="AT18" s="717"/>
      <c r="AU18" s="717"/>
      <c r="AV18" s="717"/>
      <c r="AW18" s="717"/>
      <c r="AX18" s="717"/>
      <c r="AY18" s="717"/>
      <c r="AZ18" s="717"/>
      <c r="BA18" s="717"/>
      <c r="BB18" s="717"/>
      <c r="BC18" s="717"/>
      <c r="BD18" s="717"/>
      <c r="BE18" s="717"/>
      <c r="BF18" s="717"/>
      <c r="BG18" s="717"/>
      <c r="BH18" s="718"/>
      <c r="BI18" s="4"/>
      <c r="BK18" s="145"/>
    </row>
    <row r="19" spans="1:63" ht="15" customHeight="1" x14ac:dyDescent="0.25">
      <c r="A19" s="133"/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49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M19" s="135"/>
      <c r="AN19" s="135"/>
      <c r="AO19" s="135"/>
      <c r="AP19" s="157"/>
      <c r="AQ19" s="135"/>
      <c r="AR19" s="716"/>
      <c r="AS19" s="717"/>
      <c r="AT19" s="717"/>
      <c r="AU19" s="717"/>
      <c r="AV19" s="717"/>
      <c r="AW19" s="717"/>
      <c r="AX19" s="717"/>
      <c r="AY19" s="717"/>
      <c r="AZ19" s="717"/>
      <c r="BA19" s="717"/>
      <c r="BB19" s="717"/>
      <c r="BC19" s="717"/>
      <c r="BD19" s="717"/>
      <c r="BE19" s="717"/>
      <c r="BF19" s="717"/>
      <c r="BG19" s="717"/>
      <c r="BH19" s="718"/>
      <c r="BI19" s="4"/>
      <c r="BK19" s="145"/>
    </row>
    <row r="20" spans="1:63" ht="15" customHeight="1" x14ac:dyDescent="0.25">
      <c r="A20" s="133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738" t="str">
        <f>CONCATENATE("di cui quota su anno Bdg (",IN!C51,"):")</f>
        <v>di cui quota su anno Bdg (2027):</v>
      </c>
      <c r="X20" s="739"/>
      <c r="Y20" s="739"/>
      <c r="Z20" s="739"/>
      <c r="AA20" s="739"/>
      <c r="AB20" s="739"/>
      <c r="AC20" s="739"/>
      <c r="AD20" s="739"/>
      <c r="AE20" s="739"/>
      <c r="AF20" s="739"/>
      <c r="AG20" s="739"/>
      <c r="AH20" s="135"/>
      <c r="AI20" s="740">
        <f>Investimenti!G33</f>
        <v>5407753.2212252971</v>
      </c>
      <c r="AJ20" s="740"/>
      <c r="AK20" s="740"/>
      <c r="AL20" s="740"/>
      <c r="AM20" s="135"/>
      <c r="AN20" s="135"/>
      <c r="AO20" s="135"/>
      <c r="AP20" s="157"/>
      <c r="AQ20" s="135"/>
      <c r="AR20" s="719"/>
      <c r="AS20" s="720"/>
      <c r="AT20" s="720"/>
      <c r="AU20" s="720"/>
      <c r="AV20" s="720"/>
      <c r="AW20" s="720"/>
      <c r="AX20" s="720"/>
      <c r="AY20" s="720"/>
      <c r="AZ20" s="720"/>
      <c r="BA20" s="720"/>
      <c r="BB20" s="720"/>
      <c r="BC20" s="720"/>
      <c r="BD20" s="720"/>
      <c r="BE20" s="720"/>
      <c r="BF20" s="720"/>
      <c r="BG20" s="720"/>
      <c r="BH20" s="721"/>
      <c r="BI20" s="4"/>
      <c r="BK20" s="145"/>
    </row>
    <row r="21" spans="1:63" ht="15" customHeight="1" x14ac:dyDescent="0.25">
      <c r="A21" s="133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49"/>
      <c r="X21" s="135"/>
      <c r="Y21" s="703" t="s">
        <v>114</v>
      </c>
      <c r="Z21" s="703"/>
      <c r="AA21" s="703"/>
      <c r="AB21" s="703"/>
      <c r="AC21" s="703"/>
      <c r="AD21" s="703"/>
      <c r="AE21" s="703"/>
      <c r="AF21" s="703"/>
      <c r="AG21" s="703"/>
      <c r="AH21" s="135"/>
      <c r="AI21" s="741">
        <f>SUM(IN!J57:J60)</f>
        <v>5407753.2212252971</v>
      </c>
      <c r="AJ21" s="742"/>
      <c r="AK21" s="742"/>
      <c r="AL21" s="743"/>
      <c r="AM21" s="174"/>
      <c r="AN21" s="135"/>
      <c r="AO21" s="135"/>
      <c r="AP21" s="157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135"/>
      <c r="BD21" s="135"/>
      <c r="BE21" s="135"/>
      <c r="BF21" s="135"/>
      <c r="BG21" s="135"/>
      <c r="BH21" s="135"/>
      <c r="BI21" s="4"/>
      <c r="BK21" s="145"/>
    </row>
    <row r="22" spans="1:63" ht="15" customHeight="1" x14ac:dyDescent="0.25">
      <c r="A22" s="133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49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57"/>
      <c r="AQ22" s="135"/>
      <c r="AR22" s="146"/>
      <c r="AS22" s="163"/>
      <c r="AT22" s="163"/>
      <c r="AU22" s="163"/>
      <c r="AV22" s="163"/>
      <c r="AW22" s="163"/>
      <c r="AX22" s="163"/>
      <c r="AY22" s="163"/>
      <c r="AZ22" s="163"/>
      <c r="BA22" s="163"/>
      <c r="BB22" s="163"/>
      <c r="BC22" s="163"/>
      <c r="BD22" s="163"/>
      <c r="BE22" s="163"/>
      <c r="BF22" s="163"/>
      <c r="BG22" s="163"/>
      <c r="BH22" s="164"/>
      <c r="BI22" s="4"/>
      <c r="BK22" s="145"/>
    </row>
    <row r="23" spans="1:63" ht="15" customHeight="1" x14ac:dyDescent="0.25">
      <c r="A23" s="133"/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49"/>
      <c r="X23" s="135"/>
      <c r="Y23" s="703"/>
      <c r="Z23" s="703"/>
      <c r="AA23" s="703"/>
      <c r="AB23" s="703"/>
      <c r="AC23" s="703"/>
      <c r="AD23" s="703"/>
      <c r="AE23" s="703"/>
      <c r="AF23" s="703"/>
      <c r="AG23" s="703"/>
      <c r="AH23" s="135"/>
      <c r="AI23" s="744"/>
      <c r="AJ23" s="744"/>
      <c r="AK23" s="744"/>
      <c r="AL23" s="744"/>
      <c r="AM23" s="135"/>
      <c r="AN23" s="135"/>
      <c r="AO23" s="135"/>
      <c r="AP23" s="157"/>
      <c r="AQ23" s="135"/>
      <c r="AR23" s="745" t="e">
        <f>#REF!</f>
        <v>#REF!</v>
      </c>
      <c r="AS23" s="746"/>
      <c r="AT23" s="746"/>
      <c r="AU23" s="746"/>
      <c r="AV23" s="746"/>
      <c r="AW23" s="746"/>
      <c r="AX23" s="746"/>
      <c r="AY23" s="746"/>
      <c r="AZ23" s="746"/>
      <c r="BA23" s="746"/>
      <c r="BB23" s="746"/>
      <c r="BC23" s="746"/>
      <c r="BD23" s="746"/>
      <c r="BE23" s="746"/>
      <c r="BF23" s="746"/>
      <c r="BG23" s="746"/>
      <c r="BH23" s="747"/>
      <c r="BI23" s="4"/>
      <c r="BK23" s="145"/>
    </row>
    <row r="24" spans="1:63" ht="15" customHeight="1" x14ac:dyDescent="0.25">
      <c r="A24" s="228"/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49"/>
      <c r="X24" s="135"/>
      <c r="Y24" s="703"/>
      <c r="Z24" s="703"/>
      <c r="AA24" s="703"/>
      <c r="AB24" s="703"/>
      <c r="AC24" s="703"/>
      <c r="AD24" s="703"/>
      <c r="AE24" s="703"/>
      <c r="AF24" s="703"/>
      <c r="AG24" s="703"/>
      <c r="AH24" s="135"/>
      <c r="AI24" s="744"/>
      <c r="AJ24" s="744"/>
      <c r="AK24" s="744"/>
      <c r="AL24" s="744"/>
      <c r="AM24" s="135"/>
      <c r="AN24" s="751"/>
      <c r="AO24" s="751"/>
      <c r="AP24" s="157"/>
      <c r="AQ24" s="135"/>
      <c r="AR24" s="745"/>
      <c r="AS24" s="746"/>
      <c r="AT24" s="746"/>
      <c r="AU24" s="746"/>
      <c r="AV24" s="746"/>
      <c r="AW24" s="746"/>
      <c r="AX24" s="746"/>
      <c r="AY24" s="746"/>
      <c r="AZ24" s="746"/>
      <c r="BA24" s="746"/>
      <c r="BB24" s="746"/>
      <c r="BC24" s="746"/>
      <c r="BD24" s="746"/>
      <c r="BE24" s="746"/>
      <c r="BF24" s="746"/>
      <c r="BG24" s="746"/>
      <c r="BH24" s="747"/>
      <c r="BI24" s="4"/>
    </row>
    <row r="25" spans="1:63" ht="15" customHeight="1" x14ac:dyDescent="0.25">
      <c r="A25" s="133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59"/>
      <c r="X25" s="160"/>
      <c r="Y25" s="160"/>
      <c r="Z25" s="160"/>
      <c r="AA25" s="160"/>
      <c r="AB25" s="160"/>
      <c r="AC25" s="160"/>
      <c r="AD25" s="160"/>
      <c r="AE25" s="160"/>
      <c r="AF25" s="160"/>
      <c r="AG25" s="160"/>
      <c r="AH25" s="160"/>
      <c r="AI25" s="160"/>
      <c r="AJ25" s="160"/>
      <c r="AK25" s="160"/>
      <c r="AL25" s="160"/>
      <c r="AM25" s="160"/>
      <c r="AN25" s="160"/>
      <c r="AO25" s="160"/>
      <c r="AP25" s="162"/>
      <c r="AQ25" s="135"/>
      <c r="AR25" s="748"/>
      <c r="AS25" s="749"/>
      <c r="AT25" s="749"/>
      <c r="AU25" s="749"/>
      <c r="AV25" s="749"/>
      <c r="AW25" s="749"/>
      <c r="AX25" s="749"/>
      <c r="AY25" s="749"/>
      <c r="AZ25" s="749"/>
      <c r="BA25" s="749"/>
      <c r="BB25" s="749"/>
      <c r="BC25" s="749"/>
      <c r="BD25" s="749"/>
      <c r="BE25" s="749"/>
      <c r="BF25" s="749"/>
      <c r="BG25" s="749"/>
      <c r="BH25" s="750"/>
      <c r="BI25" s="4"/>
    </row>
    <row r="26" spans="1:63" ht="15" customHeight="1" x14ac:dyDescent="0.25">
      <c r="A26" s="133"/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  <c r="AH26" s="135"/>
      <c r="AI26" s="135"/>
      <c r="AJ26" s="135"/>
      <c r="AK26" s="135"/>
      <c r="AL26" s="135"/>
      <c r="AM26" s="135"/>
      <c r="AN26" s="135"/>
      <c r="AO26" s="135"/>
      <c r="AP26" s="135"/>
      <c r="AQ26" s="135"/>
      <c r="AR26" s="135"/>
      <c r="AS26" s="135"/>
      <c r="AT26" s="135"/>
      <c r="AU26" s="135"/>
      <c r="AV26" s="135"/>
      <c r="AW26" s="135"/>
      <c r="AX26" s="135"/>
      <c r="AY26" s="135"/>
      <c r="AZ26" s="135"/>
      <c r="BA26" s="135"/>
      <c r="BB26" s="135"/>
      <c r="BC26" s="135"/>
      <c r="BD26" s="135"/>
      <c r="BE26" s="135"/>
      <c r="BF26" s="135"/>
      <c r="BG26" s="135"/>
      <c r="BH26" s="135"/>
      <c r="BI26" s="4"/>
    </row>
    <row r="27" spans="1:63" ht="15" customHeight="1" x14ac:dyDescent="0.25">
      <c r="A27" s="133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46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8"/>
      <c r="AQ27" s="135"/>
      <c r="AR27" s="146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8"/>
      <c r="BI27" s="4"/>
    </row>
    <row r="28" spans="1:63" ht="15" customHeight="1" x14ac:dyDescent="0.25">
      <c r="A28" s="133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49"/>
      <c r="X28" s="135"/>
      <c r="Y28" s="135"/>
      <c r="Z28" s="135"/>
      <c r="AA28" s="135"/>
      <c r="AB28" s="135"/>
      <c r="AC28" s="135"/>
      <c r="AD28" s="135"/>
      <c r="AE28" s="135"/>
      <c r="AF28" s="135"/>
      <c r="AG28" s="165" t="s">
        <v>115</v>
      </c>
      <c r="AH28" s="135"/>
      <c r="AI28" s="741">
        <v>0</v>
      </c>
      <c r="AJ28" s="742"/>
      <c r="AK28" s="742"/>
      <c r="AL28" s="742"/>
      <c r="AM28" s="743"/>
      <c r="AN28" s="135"/>
      <c r="AO28" s="135"/>
      <c r="AP28" s="166"/>
      <c r="AQ28" s="167"/>
      <c r="AR28" s="149"/>
      <c r="AS28" s="135"/>
      <c r="AT28" s="135"/>
      <c r="AU28" s="135"/>
      <c r="AV28" s="135"/>
      <c r="AW28" s="135"/>
      <c r="AX28" s="135"/>
      <c r="AY28" s="135"/>
      <c r="AZ28" s="135"/>
      <c r="BA28" s="135"/>
      <c r="BB28" s="168"/>
      <c r="BC28" s="135"/>
      <c r="BD28" s="756"/>
      <c r="BE28" s="756"/>
      <c r="BF28" s="756"/>
      <c r="BG28" s="135"/>
      <c r="BH28" s="157"/>
      <c r="BI28" s="4"/>
    </row>
    <row r="29" spans="1:63" ht="15" customHeight="1" x14ac:dyDescent="0.25">
      <c r="A29" s="133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49"/>
      <c r="X29" s="135"/>
      <c r="Y29" s="135"/>
      <c r="Z29" s="135"/>
      <c r="AA29" s="135"/>
      <c r="AB29" s="135"/>
      <c r="AC29" s="135"/>
      <c r="AD29" s="135"/>
      <c r="AE29" s="135"/>
      <c r="AF29" s="135"/>
      <c r="AG29" s="165" t="s">
        <v>116</v>
      </c>
      <c r="AH29" s="135"/>
      <c r="AI29" s="757">
        <v>0</v>
      </c>
      <c r="AJ29" s="758"/>
      <c r="AK29" s="758"/>
      <c r="AL29" s="758"/>
      <c r="AM29" s="759"/>
      <c r="AN29" s="135"/>
      <c r="AO29" s="135"/>
      <c r="AP29" s="157"/>
      <c r="AQ29" s="135"/>
      <c r="AR29" s="716"/>
      <c r="AS29" s="717"/>
      <c r="AT29" s="717"/>
      <c r="AU29" s="717"/>
      <c r="AV29" s="717"/>
      <c r="AW29" s="717"/>
      <c r="AX29" s="717"/>
      <c r="AY29" s="717"/>
      <c r="AZ29" s="717"/>
      <c r="BA29" s="717"/>
      <c r="BB29" s="717"/>
      <c r="BC29" s="717"/>
      <c r="BD29" s="717"/>
      <c r="BE29" s="717"/>
      <c r="BF29" s="717"/>
      <c r="BG29" s="717"/>
      <c r="BH29" s="718"/>
      <c r="BI29" s="4"/>
    </row>
    <row r="30" spans="1:63" ht="30" customHeight="1" x14ac:dyDescent="0.25">
      <c r="A30" s="133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49"/>
      <c r="X30" s="135"/>
      <c r="Y30" s="135"/>
      <c r="Z30" s="135"/>
      <c r="AA30" s="135"/>
      <c r="AB30" s="135"/>
      <c r="AC30" s="135"/>
      <c r="AD30" s="135"/>
      <c r="AE30" s="135"/>
      <c r="AF30" s="135"/>
      <c r="AG30" s="165" t="s">
        <v>117</v>
      </c>
      <c r="AH30" s="135"/>
      <c r="AI30" s="760" t="str">
        <f>IN!I34</f>
        <v>Comune di Lodi (LO)</v>
      </c>
      <c r="AJ30" s="761"/>
      <c r="AK30" s="761"/>
      <c r="AL30" s="761"/>
      <c r="AM30" s="761"/>
      <c r="AN30" s="761"/>
      <c r="AO30" s="762"/>
      <c r="AP30" s="157"/>
      <c r="AQ30" s="135"/>
      <c r="AR30" s="716"/>
      <c r="AS30" s="717"/>
      <c r="AT30" s="717"/>
      <c r="AU30" s="717"/>
      <c r="AV30" s="717"/>
      <c r="AW30" s="717"/>
      <c r="AX30" s="717"/>
      <c r="AY30" s="717"/>
      <c r="AZ30" s="717"/>
      <c r="BA30" s="717"/>
      <c r="BB30" s="717"/>
      <c r="BC30" s="717"/>
      <c r="BD30" s="717"/>
      <c r="BE30" s="717"/>
      <c r="BF30" s="717"/>
      <c r="BG30" s="717"/>
      <c r="BH30" s="718"/>
      <c r="BI30" s="4"/>
    </row>
    <row r="31" spans="1:63" ht="15" customHeight="1" x14ac:dyDescent="0.25">
      <c r="A31" s="133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49"/>
      <c r="X31" s="135"/>
      <c r="Y31" s="135"/>
      <c r="Z31" s="135"/>
      <c r="AA31" s="135"/>
      <c r="AB31" s="135"/>
      <c r="AC31" s="135"/>
      <c r="AD31" s="135"/>
      <c r="AE31" s="135"/>
      <c r="AF31" s="135"/>
      <c r="AG31" s="135"/>
      <c r="AH31" s="135"/>
      <c r="AI31" s="135"/>
      <c r="AJ31" s="135"/>
      <c r="AK31" s="135"/>
      <c r="AL31" s="135"/>
      <c r="AM31" s="135"/>
      <c r="AN31" s="135"/>
      <c r="AO31" s="135"/>
      <c r="AP31" s="157"/>
      <c r="AQ31" s="135"/>
      <c r="AR31" s="716"/>
      <c r="AS31" s="717"/>
      <c r="AT31" s="717"/>
      <c r="AU31" s="717"/>
      <c r="AV31" s="717"/>
      <c r="AW31" s="717"/>
      <c r="AX31" s="717"/>
      <c r="AY31" s="717"/>
      <c r="AZ31" s="717"/>
      <c r="BA31" s="717"/>
      <c r="BB31" s="717"/>
      <c r="BC31" s="717"/>
      <c r="BD31" s="717"/>
      <c r="BE31" s="717"/>
      <c r="BF31" s="717"/>
      <c r="BG31" s="717"/>
      <c r="BH31" s="718"/>
      <c r="BI31" s="4"/>
    </row>
    <row r="32" spans="1:63" ht="15" customHeight="1" x14ac:dyDescent="0.25">
      <c r="A32" s="133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49"/>
      <c r="X32" s="135"/>
      <c r="Y32" s="135"/>
      <c r="Z32" s="135"/>
      <c r="AA32" s="135"/>
      <c r="AB32" s="135"/>
      <c r="AC32" s="135"/>
      <c r="AD32" s="135"/>
      <c r="AE32" s="135"/>
      <c r="AF32" s="135"/>
      <c r="AG32" s="165" t="s">
        <v>118</v>
      </c>
      <c r="AH32" s="135"/>
      <c r="AI32" s="741">
        <f>SUM(IN!J57:J60)-SUM(IN!K57:K58)</f>
        <v>5407753.2212252971</v>
      </c>
      <c r="AJ32" s="742"/>
      <c r="AK32" s="742"/>
      <c r="AL32" s="742"/>
      <c r="AM32" s="743"/>
      <c r="AN32" s="135"/>
      <c r="AO32" s="135"/>
      <c r="AP32" s="157"/>
      <c r="AQ32" s="135"/>
      <c r="AR32" s="716"/>
      <c r="AS32" s="717"/>
      <c r="AT32" s="717"/>
      <c r="AU32" s="717"/>
      <c r="AV32" s="717"/>
      <c r="AW32" s="717"/>
      <c r="AX32" s="717"/>
      <c r="AY32" s="717"/>
      <c r="AZ32" s="717"/>
      <c r="BA32" s="717"/>
      <c r="BB32" s="717"/>
      <c r="BC32" s="717"/>
      <c r="BD32" s="717"/>
      <c r="BE32" s="717"/>
      <c r="BF32" s="717"/>
      <c r="BG32" s="717"/>
      <c r="BH32" s="718"/>
      <c r="BI32" s="4"/>
    </row>
    <row r="33" spans="1:61" ht="15" customHeight="1" x14ac:dyDescent="0.25">
      <c r="A33" s="133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49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/>
      <c r="AM33" s="135"/>
      <c r="AN33" s="135"/>
      <c r="AO33" s="135"/>
      <c r="AP33" s="157"/>
      <c r="AQ33" s="135"/>
      <c r="AR33" s="716"/>
      <c r="AS33" s="717"/>
      <c r="AT33" s="717"/>
      <c r="AU33" s="717"/>
      <c r="AV33" s="717"/>
      <c r="AW33" s="717"/>
      <c r="AX33" s="717"/>
      <c r="AY33" s="717"/>
      <c r="AZ33" s="717"/>
      <c r="BA33" s="717"/>
      <c r="BB33" s="717"/>
      <c r="BC33" s="717"/>
      <c r="BD33" s="717"/>
      <c r="BE33" s="717"/>
      <c r="BF33" s="717"/>
      <c r="BG33" s="717"/>
      <c r="BH33" s="718"/>
      <c r="BI33" s="4"/>
    </row>
    <row r="34" spans="1:61" ht="15" customHeight="1" x14ac:dyDescent="0.25">
      <c r="A34" s="133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49"/>
      <c r="X34" s="135"/>
      <c r="Y34" s="135"/>
      <c r="Z34" s="135"/>
      <c r="AA34" s="135"/>
      <c r="AB34" s="135"/>
      <c r="AC34" s="135"/>
      <c r="AD34" s="135"/>
      <c r="AE34" s="135"/>
      <c r="AF34" s="135"/>
      <c r="AG34" s="165"/>
      <c r="AH34" s="135"/>
      <c r="AI34" s="744"/>
      <c r="AJ34" s="744"/>
      <c r="AK34" s="744"/>
      <c r="AL34" s="744"/>
      <c r="AM34" s="744"/>
      <c r="AN34" s="135"/>
      <c r="AO34" s="135"/>
      <c r="AP34" s="157"/>
      <c r="AQ34" s="135"/>
      <c r="AR34" s="716"/>
      <c r="AS34" s="717"/>
      <c r="AT34" s="717"/>
      <c r="AU34" s="717"/>
      <c r="AV34" s="717"/>
      <c r="AW34" s="717"/>
      <c r="AX34" s="717"/>
      <c r="AY34" s="717"/>
      <c r="AZ34" s="717"/>
      <c r="BA34" s="717"/>
      <c r="BB34" s="717"/>
      <c r="BC34" s="717"/>
      <c r="BD34" s="717"/>
      <c r="BE34" s="717"/>
      <c r="BF34" s="717"/>
      <c r="BG34" s="717"/>
      <c r="BH34" s="718"/>
      <c r="BI34" s="4"/>
    </row>
    <row r="35" spans="1:61" ht="15" customHeight="1" x14ac:dyDescent="0.25">
      <c r="A35" s="133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59"/>
      <c r="X35" s="160"/>
      <c r="Y35" s="160"/>
      <c r="Z35" s="160"/>
      <c r="AA35" s="160"/>
      <c r="AB35" s="160"/>
      <c r="AC35" s="160"/>
      <c r="AD35" s="160"/>
      <c r="AE35" s="160"/>
      <c r="AF35" s="160"/>
      <c r="AG35" s="160"/>
      <c r="AH35" s="160"/>
      <c r="AI35" s="160"/>
      <c r="AJ35" s="160"/>
      <c r="AK35" s="160"/>
      <c r="AL35" s="160"/>
      <c r="AM35" s="160"/>
      <c r="AN35" s="160"/>
      <c r="AO35" s="160"/>
      <c r="AP35" s="162"/>
      <c r="AQ35" s="135"/>
      <c r="AR35" s="719"/>
      <c r="AS35" s="720"/>
      <c r="AT35" s="720"/>
      <c r="AU35" s="720"/>
      <c r="AV35" s="720"/>
      <c r="AW35" s="720"/>
      <c r="AX35" s="720"/>
      <c r="AY35" s="720"/>
      <c r="AZ35" s="720"/>
      <c r="BA35" s="720"/>
      <c r="BB35" s="720"/>
      <c r="BC35" s="720"/>
      <c r="BD35" s="720"/>
      <c r="BE35" s="720"/>
      <c r="BF35" s="720"/>
      <c r="BG35" s="720"/>
      <c r="BH35" s="721"/>
      <c r="BI35" s="4"/>
    </row>
    <row r="36" spans="1:61" ht="15" customHeight="1" x14ac:dyDescent="0.25">
      <c r="A36" s="133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35"/>
      <c r="AI36" s="135"/>
      <c r="AJ36" s="135"/>
      <c r="AK36" s="135"/>
      <c r="AL36" s="135"/>
      <c r="AM36" s="135"/>
      <c r="AN36" s="135"/>
      <c r="AO36" s="135"/>
      <c r="AP36" s="135"/>
      <c r="AQ36" s="135"/>
      <c r="AR36" s="135"/>
      <c r="AS36" s="135"/>
      <c r="AT36" s="135"/>
      <c r="AU36" s="135"/>
      <c r="AV36" s="135"/>
      <c r="AW36" s="135"/>
      <c r="AX36" s="135"/>
      <c r="AY36" s="135"/>
      <c r="AZ36" s="135"/>
      <c r="BA36" s="135"/>
      <c r="BB36" s="135"/>
      <c r="BC36" s="135"/>
      <c r="BD36" s="135"/>
      <c r="BE36" s="135"/>
      <c r="BF36" s="135"/>
      <c r="BG36" s="135"/>
      <c r="BH36" s="135"/>
      <c r="BI36" s="4"/>
    </row>
    <row r="37" spans="1:61" ht="15" customHeight="1" x14ac:dyDescent="0.25">
      <c r="A37" s="133"/>
      <c r="B37" s="146"/>
      <c r="C37" s="147"/>
      <c r="D37" s="147"/>
      <c r="E37" s="147"/>
      <c r="F37" s="147"/>
      <c r="G37" s="147"/>
      <c r="H37" s="147"/>
      <c r="I37" s="147"/>
      <c r="J37" s="147"/>
      <c r="K37" s="147"/>
      <c r="L37" s="147"/>
      <c r="M37" s="147"/>
      <c r="N37" s="147"/>
      <c r="O37" s="147"/>
      <c r="P37" s="147"/>
      <c r="Q37" s="147"/>
      <c r="R37" s="147"/>
      <c r="S37" s="147"/>
      <c r="T37" s="147"/>
      <c r="U37" s="148"/>
      <c r="V37" s="135"/>
      <c r="W37" s="146"/>
      <c r="X37" s="147"/>
      <c r="Y37" s="147"/>
      <c r="Z37" s="147"/>
      <c r="AA37" s="147"/>
      <c r="AB37" s="147"/>
      <c r="AC37" s="147"/>
      <c r="AD37" s="147"/>
      <c r="AE37" s="147"/>
      <c r="AF37" s="147"/>
      <c r="AG37" s="147"/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  <c r="BI37" s="149"/>
    </row>
    <row r="38" spans="1:61" ht="15" customHeight="1" x14ac:dyDescent="0.25">
      <c r="A38" s="133"/>
      <c r="B38" s="149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65" t="s">
        <v>47</v>
      </c>
      <c r="N38" s="135"/>
      <c r="O38" s="767">
        <f>IN!C44</f>
        <v>4.9799999999999997E-2</v>
      </c>
      <c r="P38" s="768"/>
      <c r="Q38" s="768"/>
      <c r="R38" s="769"/>
      <c r="S38" s="135"/>
      <c r="T38" s="135"/>
      <c r="U38" s="157"/>
      <c r="V38" s="135"/>
      <c r="W38" s="149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135"/>
      <c r="BD38" s="135"/>
      <c r="BE38" s="135"/>
      <c r="BF38" s="135"/>
      <c r="BG38" s="135"/>
      <c r="BH38" s="135"/>
      <c r="BI38" s="149"/>
    </row>
    <row r="39" spans="1:61" ht="15" customHeight="1" x14ac:dyDescent="0.25">
      <c r="A39" s="133"/>
      <c r="B39" s="149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57"/>
      <c r="V39" s="135"/>
      <c r="W39" s="149"/>
      <c r="X39" s="135"/>
      <c r="Y39" s="135"/>
      <c r="Z39" s="135"/>
      <c r="AA39" s="135"/>
      <c r="AB39" s="135"/>
      <c r="AC39" s="135"/>
      <c r="AD39" s="135"/>
      <c r="AE39" s="135"/>
      <c r="AF39" s="135"/>
      <c r="AG39" s="135"/>
      <c r="AH39" s="135"/>
      <c r="AI39" s="135"/>
      <c r="AJ39" s="135"/>
      <c r="AK39" s="135"/>
      <c r="AL39" s="135"/>
      <c r="AM39" s="135"/>
      <c r="AN39" s="135"/>
      <c r="AO39" s="135"/>
      <c r="AP39" s="135"/>
      <c r="AQ39" s="135"/>
      <c r="AR39" s="135"/>
      <c r="AS39" s="135"/>
      <c r="AT39" s="135"/>
      <c r="AU39" s="135"/>
      <c r="AV39" s="135"/>
      <c r="AW39" s="135"/>
      <c r="AX39" s="135"/>
      <c r="AY39" s="135"/>
      <c r="AZ39" s="135"/>
      <c r="BA39" s="135"/>
      <c r="BB39" s="135"/>
      <c r="BC39" s="135"/>
      <c r="BD39" s="135"/>
      <c r="BE39" s="135"/>
      <c r="BF39" s="135"/>
      <c r="BG39" s="135"/>
      <c r="BH39" s="135"/>
      <c r="BI39" s="149"/>
    </row>
    <row r="40" spans="1:61" ht="15" customHeight="1" x14ac:dyDescent="0.25">
      <c r="A40" s="133"/>
      <c r="B40" s="149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65" t="s">
        <v>119</v>
      </c>
      <c r="N40" s="135"/>
      <c r="O40" s="740">
        <f>'RF VAL_INV opz1'!C15</f>
        <v>33936.802541605197</v>
      </c>
      <c r="P40" s="740"/>
      <c r="Q40" s="740"/>
      <c r="R40" s="740"/>
      <c r="S40" s="174"/>
      <c r="T40" s="135"/>
      <c r="U40" s="157"/>
      <c r="V40" s="135"/>
      <c r="W40" s="149"/>
      <c r="X40" s="135"/>
      <c r="Y40" s="135"/>
      <c r="Z40" s="135"/>
      <c r="AA40" s="135"/>
      <c r="AB40" s="135"/>
      <c r="AC40" s="135"/>
      <c r="AD40" s="135"/>
      <c r="AE40" s="135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5"/>
      <c r="AR40" s="135"/>
      <c r="AS40" s="135"/>
      <c r="AT40" s="135"/>
      <c r="AU40" s="135"/>
      <c r="AV40" s="135"/>
      <c r="AW40" s="135"/>
      <c r="AX40" s="135"/>
      <c r="AY40" s="135"/>
      <c r="AZ40" s="135"/>
      <c r="BA40" s="135"/>
      <c r="BB40" s="135"/>
      <c r="BC40" s="135"/>
      <c r="BD40" s="135"/>
      <c r="BE40" s="135"/>
      <c r="BF40" s="135"/>
      <c r="BG40" s="135"/>
      <c r="BH40" s="135"/>
      <c r="BI40" s="149"/>
    </row>
    <row r="41" spans="1:61" ht="15" customHeight="1" x14ac:dyDescent="0.25">
      <c r="A41" s="133"/>
      <c r="B41" s="149"/>
      <c r="C41" s="135"/>
      <c r="D41" s="135"/>
      <c r="E41" s="169"/>
      <c r="F41" s="170"/>
      <c r="G41" s="752"/>
      <c r="H41" s="752"/>
      <c r="I41" s="752"/>
      <c r="J41" s="135"/>
      <c r="K41" s="135"/>
      <c r="L41" s="135"/>
      <c r="M41" s="165" t="s">
        <v>17</v>
      </c>
      <c r="N41" s="135"/>
      <c r="O41" s="753">
        <f>'RF VAL_INV opz1'!C16</f>
        <v>5.0486187016911988E-2</v>
      </c>
      <c r="P41" s="754"/>
      <c r="Q41" s="754"/>
      <c r="R41" s="755"/>
      <c r="S41" s="174"/>
      <c r="T41" s="135"/>
      <c r="U41" s="157"/>
      <c r="V41" s="135"/>
      <c r="W41" s="149"/>
      <c r="X41" s="135"/>
      <c r="Y41" s="135"/>
      <c r="Z41" s="135"/>
      <c r="AA41" s="135"/>
      <c r="AB41" s="135"/>
      <c r="AC41" s="135"/>
      <c r="AD41" s="135"/>
      <c r="AE41" s="135"/>
      <c r="AF41" s="135"/>
      <c r="AG41" s="135"/>
      <c r="AH41" s="135"/>
      <c r="AI41" s="135"/>
      <c r="AJ41" s="135"/>
      <c r="AK41" s="135"/>
      <c r="AL41" s="135"/>
      <c r="AM41" s="135"/>
      <c r="AN41" s="135"/>
      <c r="AO41" s="135"/>
      <c r="AP41" s="135"/>
      <c r="AQ41" s="135"/>
      <c r="AR41" s="135"/>
      <c r="AS41" s="135"/>
      <c r="AT41" s="135"/>
      <c r="AU41" s="135"/>
      <c r="AV41" s="135"/>
      <c r="AW41" s="135"/>
      <c r="AX41" s="135"/>
      <c r="AY41" s="135"/>
      <c r="AZ41" s="135"/>
      <c r="BA41" s="135"/>
      <c r="BB41" s="135"/>
      <c r="BC41" s="135"/>
      <c r="BD41" s="135"/>
      <c r="BE41" s="135"/>
      <c r="BF41" s="135"/>
      <c r="BG41" s="135"/>
      <c r="BH41" s="135"/>
      <c r="BI41" s="149"/>
    </row>
    <row r="42" spans="1:61" ht="15" customHeight="1" x14ac:dyDescent="0.25">
      <c r="A42" s="133"/>
      <c r="B42" s="149"/>
      <c r="C42" s="135"/>
      <c r="D42" s="135"/>
      <c r="E42" s="169"/>
      <c r="F42" s="170"/>
      <c r="G42" s="283"/>
      <c r="H42" s="283"/>
      <c r="I42" s="283"/>
      <c r="J42" s="135"/>
      <c r="K42" s="135"/>
      <c r="L42" s="135"/>
      <c r="M42" s="165"/>
      <c r="N42" s="135"/>
      <c r="O42" s="284"/>
      <c r="P42" s="284"/>
      <c r="Q42" s="284"/>
      <c r="R42" s="284"/>
      <c r="S42" s="174"/>
      <c r="T42" s="135"/>
      <c r="U42" s="157"/>
      <c r="V42" s="135"/>
      <c r="W42" s="149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/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135"/>
      <c r="BD42" s="135"/>
      <c r="BE42" s="135"/>
      <c r="BF42" s="135"/>
      <c r="BG42" s="135"/>
      <c r="BH42" s="135"/>
      <c r="BI42" s="149"/>
    </row>
    <row r="43" spans="1:61" ht="15" customHeight="1" x14ac:dyDescent="0.25">
      <c r="A43" s="133"/>
      <c r="B43" s="149"/>
      <c r="C43" s="135"/>
      <c r="D43" s="135"/>
      <c r="E43" s="169"/>
      <c r="F43" s="170"/>
      <c r="G43" s="283"/>
      <c r="H43" s="283"/>
      <c r="I43" s="283"/>
      <c r="J43" s="135"/>
      <c r="K43" s="135"/>
      <c r="L43" s="135"/>
      <c r="M43" s="165" t="s">
        <v>120</v>
      </c>
      <c r="N43" s="135"/>
      <c r="O43" s="740">
        <f>'RF VAL_INV opz1'!C34</f>
        <v>91800.796805752208</v>
      </c>
      <c r="P43" s="740"/>
      <c r="Q43" s="740"/>
      <c r="R43" s="740"/>
      <c r="S43" s="174"/>
      <c r="T43" s="135"/>
      <c r="U43" s="157"/>
      <c r="V43" s="135"/>
      <c r="W43" s="149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135"/>
      <c r="BB43" s="135"/>
      <c r="BC43" s="135"/>
      <c r="BD43" s="135"/>
      <c r="BE43" s="135"/>
      <c r="BF43" s="135"/>
      <c r="BG43" s="135"/>
      <c r="BH43" s="135"/>
      <c r="BI43" s="149"/>
    </row>
    <row r="44" spans="1:61" ht="15" customHeight="1" x14ac:dyDescent="0.25">
      <c r="A44" s="133"/>
      <c r="B44" s="149"/>
      <c r="C44" s="135"/>
      <c r="D44" s="135"/>
      <c r="E44" s="169"/>
      <c r="F44" s="170"/>
      <c r="G44" s="283"/>
      <c r="H44" s="283"/>
      <c r="I44" s="283"/>
      <c r="J44" s="135"/>
      <c r="K44" s="135"/>
      <c r="L44" s="135"/>
      <c r="M44" s="165" t="s">
        <v>21</v>
      </c>
      <c r="N44" s="135"/>
      <c r="O44" s="753">
        <f>'RF VAL_INV opz1'!C35</f>
        <v>7.4180324118491736E-2</v>
      </c>
      <c r="P44" s="754"/>
      <c r="Q44" s="754"/>
      <c r="R44" s="755"/>
      <c r="S44" s="174"/>
      <c r="T44" s="135"/>
      <c r="U44" s="157"/>
      <c r="V44" s="135"/>
      <c r="W44" s="149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/>
      <c r="AM44" s="135"/>
      <c r="AN44" s="135"/>
      <c r="AO44" s="135"/>
      <c r="AP44" s="135"/>
      <c r="AQ44" s="135"/>
      <c r="AR44" s="135"/>
      <c r="AS44" s="135"/>
      <c r="AT44" s="135"/>
      <c r="AU44" s="135"/>
      <c r="AV44" s="135"/>
      <c r="AW44" s="135"/>
      <c r="AX44" s="135"/>
      <c r="AY44" s="135"/>
      <c r="AZ44" s="135"/>
      <c r="BA44" s="135"/>
      <c r="BB44" s="135"/>
      <c r="BC44" s="135"/>
      <c r="BD44" s="135"/>
      <c r="BE44" s="135"/>
      <c r="BF44" s="135"/>
      <c r="BG44" s="135"/>
      <c r="BH44" s="135"/>
      <c r="BI44" s="149"/>
    </row>
    <row r="45" spans="1:61" ht="15" customHeight="1" x14ac:dyDescent="0.25">
      <c r="A45" s="133"/>
      <c r="B45" s="149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57"/>
      <c r="V45" s="135"/>
      <c r="W45" s="149"/>
      <c r="X45" s="135"/>
      <c r="Y45" s="135"/>
      <c r="Z45" s="135"/>
      <c r="AA45" s="135"/>
      <c r="AB45" s="135"/>
      <c r="AC45" s="135"/>
      <c r="AD45" s="135"/>
      <c r="AE45" s="135"/>
      <c r="AF45" s="135"/>
      <c r="AG45" s="135"/>
      <c r="AH45" s="135"/>
      <c r="AI45" s="135"/>
      <c r="AJ45" s="135"/>
      <c r="AK45" s="135"/>
      <c r="AL45" s="135"/>
      <c r="AM45" s="135"/>
      <c r="AN45" s="135"/>
      <c r="AO45" s="135"/>
      <c r="AP45" s="135"/>
      <c r="AQ45" s="135"/>
      <c r="AR45" s="135"/>
      <c r="AS45" s="135"/>
      <c r="AT45" s="135"/>
      <c r="AU45" s="135"/>
      <c r="AV45" s="135"/>
      <c r="AW45" s="135"/>
      <c r="AX45" s="135"/>
      <c r="AY45" s="135"/>
      <c r="AZ45" s="135"/>
      <c r="BA45" s="135"/>
      <c r="BB45" s="135"/>
      <c r="BC45" s="135"/>
      <c r="BD45" s="135"/>
      <c r="BE45" s="135"/>
      <c r="BF45" s="135"/>
      <c r="BG45" s="135"/>
      <c r="BH45" s="135"/>
      <c r="BI45" s="149"/>
    </row>
    <row r="46" spans="1:61" ht="15" customHeight="1" x14ac:dyDescent="0.25">
      <c r="A46" s="133"/>
      <c r="B46" s="149"/>
      <c r="C46" s="171"/>
      <c r="D46" s="171"/>
      <c r="E46" s="171"/>
      <c r="F46" s="171"/>
      <c r="G46" s="171"/>
      <c r="H46" s="171"/>
      <c r="I46" s="4"/>
      <c r="J46" s="4"/>
      <c r="K46" s="4"/>
      <c r="L46" s="4"/>
      <c r="M46" s="165" t="s">
        <v>121</v>
      </c>
      <c r="N46" s="135"/>
      <c r="O46" s="763">
        <f>'RF VAL_INV opz1'!C57</f>
        <v>2.5264317806683185</v>
      </c>
      <c r="P46" s="764"/>
      <c r="Q46" s="764"/>
      <c r="R46" s="765"/>
      <c r="S46" s="135"/>
      <c r="T46" s="135"/>
      <c r="U46" s="157"/>
      <c r="V46" s="135"/>
      <c r="W46" s="149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135"/>
      <c r="BD46" s="135"/>
      <c r="BE46" s="135"/>
      <c r="BF46" s="135"/>
      <c r="BG46" s="135"/>
      <c r="BH46" s="135"/>
      <c r="BI46" s="149"/>
    </row>
    <row r="47" spans="1:61" ht="15" customHeight="1" x14ac:dyDescent="0.25">
      <c r="A47" s="133"/>
      <c r="B47" s="172"/>
      <c r="C47" s="171"/>
      <c r="D47" s="171"/>
      <c r="E47" s="171"/>
      <c r="F47" s="171"/>
      <c r="G47" s="171"/>
      <c r="H47" s="171"/>
      <c r="I47" s="135"/>
      <c r="J47" s="135"/>
      <c r="K47" s="135"/>
      <c r="L47" s="135"/>
      <c r="M47" s="165"/>
      <c r="N47" s="135"/>
      <c r="O47" s="316"/>
      <c r="P47" s="316"/>
      <c r="Q47" s="316"/>
      <c r="R47" s="316"/>
      <c r="S47" s="135"/>
      <c r="T47" s="135"/>
      <c r="U47" s="157"/>
      <c r="V47" s="135"/>
      <c r="W47" s="149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135"/>
      <c r="BD47" s="135"/>
      <c r="BE47" s="135"/>
      <c r="BF47" s="135"/>
      <c r="BG47" s="135"/>
      <c r="BH47" s="135"/>
      <c r="BI47" s="149"/>
    </row>
    <row r="48" spans="1:61" ht="15" customHeight="1" x14ac:dyDescent="0.25">
      <c r="A48" s="133"/>
      <c r="B48" s="172"/>
      <c r="C48" s="171"/>
      <c r="D48" s="171"/>
      <c r="E48" s="171"/>
      <c r="F48" s="171"/>
      <c r="G48" s="171"/>
      <c r="H48" s="171"/>
      <c r="I48" s="135"/>
      <c r="J48" s="135"/>
      <c r="K48" s="135"/>
      <c r="L48" s="135"/>
      <c r="M48" s="165" t="s">
        <v>122</v>
      </c>
      <c r="N48" s="135"/>
      <c r="O48" s="766">
        <f>'RF VAL_INV opz1'!C58</f>
        <v>1.9733324280958868</v>
      </c>
      <c r="P48" s="766"/>
      <c r="Q48" s="766"/>
      <c r="R48" s="766"/>
      <c r="S48" s="173"/>
      <c r="T48" s="135"/>
      <c r="U48" s="157"/>
      <c r="V48" s="135"/>
      <c r="W48" s="149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135"/>
      <c r="BD48" s="135"/>
      <c r="BE48" s="135"/>
      <c r="BF48" s="135"/>
      <c r="BG48" s="135"/>
      <c r="BH48" s="135"/>
      <c r="BI48" s="149"/>
    </row>
    <row r="49" spans="1:61" ht="15" customHeight="1" x14ac:dyDescent="0.25">
      <c r="A49" s="133"/>
      <c r="B49" s="172"/>
      <c r="C49" s="171"/>
      <c r="D49" s="171"/>
      <c r="E49" s="171"/>
      <c r="F49" s="171"/>
      <c r="G49" s="171"/>
      <c r="H49" s="171"/>
      <c r="I49" s="135"/>
      <c r="J49" s="135"/>
      <c r="K49" s="135"/>
      <c r="L49" s="135"/>
      <c r="M49" s="4"/>
      <c r="N49" s="4"/>
      <c r="O49" s="4"/>
      <c r="P49" s="4"/>
      <c r="Q49" s="4"/>
      <c r="R49" s="4"/>
      <c r="S49" s="135"/>
      <c r="T49" s="135"/>
      <c r="U49" s="157"/>
      <c r="V49" s="135"/>
      <c r="W49" s="149"/>
      <c r="X49" s="135"/>
      <c r="Y49" s="135"/>
      <c r="Z49" s="135"/>
      <c r="AA49" s="135"/>
      <c r="AB49" s="135"/>
      <c r="AC49" s="135"/>
      <c r="AD49" s="135"/>
      <c r="AE49" s="135"/>
      <c r="AF49" s="135"/>
      <c r="AG49" s="135"/>
      <c r="AH49" s="135"/>
      <c r="AI49" s="135"/>
      <c r="AJ49" s="135"/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135"/>
      <c r="BD49" s="135"/>
      <c r="BE49" s="135"/>
      <c r="BF49" s="135"/>
      <c r="BG49" s="135"/>
      <c r="BH49" s="135"/>
      <c r="BI49" s="149"/>
    </row>
    <row r="50" spans="1:61" ht="15" customHeight="1" x14ac:dyDescent="0.25">
      <c r="A50" s="133"/>
      <c r="B50" s="172"/>
      <c r="C50" s="171"/>
      <c r="D50" s="171"/>
      <c r="E50" s="171"/>
      <c r="F50" s="171"/>
      <c r="G50" s="171"/>
      <c r="H50" s="171"/>
      <c r="I50" s="135"/>
      <c r="J50" s="135"/>
      <c r="K50" s="135"/>
      <c r="L50" s="135"/>
      <c r="M50" s="165" t="s">
        <v>27</v>
      </c>
      <c r="N50" s="135"/>
      <c r="O50" s="698">
        <f>'RF VAL_INV opz1'!C40</f>
        <v>23</v>
      </c>
      <c r="P50" s="698"/>
      <c r="Q50" s="698"/>
      <c r="R50" s="698"/>
      <c r="S50" s="135"/>
      <c r="T50" s="135"/>
      <c r="U50" s="157"/>
      <c r="V50" s="135"/>
      <c r="W50" s="149"/>
      <c r="X50" s="135"/>
      <c r="Y50" s="135"/>
      <c r="Z50" s="135"/>
      <c r="AA50" s="135"/>
      <c r="AB50" s="135"/>
      <c r="AC50" s="135"/>
      <c r="AD50" s="135"/>
      <c r="AE50" s="135"/>
      <c r="AF50" s="135"/>
      <c r="AG50" s="135"/>
      <c r="AH50" s="135"/>
      <c r="AI50" s="135"/>
      <c r="AJ50" s="135"/>
      <c r="AK50" s="135"/>
      <c r="AL50" s="135"/>
      <c r="AM50" s="135"/>
      <c r="AN50" s="135"/>
      <c r="AO50" s="135"/>
      <c r="AP50" s="135"/>
      <c r="AQ50" s="135"/>
      <c r="AR50" s="135"/>
      <c r="AS50" s="135"/>
      <c r="AT50" s="135"/>
      <c r="AU50" s="135"/>
      <c r="AV50" s="135"/>
      <c r="AW50" s="135"/>
      <c r="AX50" s="135"/>
      <c r="AY50" s="135"/>
      <c r="AZ50" s="135"/>
      <c r="BA50" s="135"/>
      <c r="BB50" s="135"/>
      <c r="BC50" s="135"/>
      <c r="BD50" s="135"/>
      <c r="BE50" s="135"/>
      <c r="BF50" s="135"/>
      <c r="BG50" s="135"/>
      <c r="BH50" s="135"/>
      <c r="BI50" s="149"/>
    </row>
    <row r="51" spans="1:61" ht="15" customHeight="1" x14ac:dyDescent="0.25">
      <c r="A51" s="133"/>
      <c r="B51" s="172"/>
      <c r="C51" s="171"/>
      <c r="D51" s="171"/>
      <c r="E51" s="171"/>
      <c r="F51" s="171"/>
      <c r="G51" s="171"/>
      <c r="H51" s="171"/>
      <c r="I51" s="135"/>
      <c r="J51" s="135"/>
      <c r="K51" s="135"/>
      <c r="L51" s="135"/>
      <c r="M51" s="165" t="s">
        <v>28</v>
      </c>
      <c r="N51" s="135"/>
      <c r="O51" s="698">
        <f>'RF VAL_INV opz1'!C41</f>
        <v>15</v>
      </c>
      <c r="P51" s="698"/>
      <c r="Q51" s="698"/>
      <c r="R51" s="698"/>
      <c r="S51" s="135"/>
      <c r="T51" s="135"/>
      <c r="U51" s="157"/>
      <c r="V51" s="135"/>
      <c r="W51" s="149"/>
      <c r="X51" s="135"/>
      <c r="Y51" s="135"/>
      <c r="Z51" s="135"/>
      <c r="AA51" s="135"/>
      <c r="AB51" s="135"/>
      <c r="AC51" s="135"/>
      <c r="AD51" s="135"/>
      <c r="AE51" s="135"/>
      <c r="AF51" s="135"/>
      <c r="AG51" s="135"/>
      <c r="AH51" s="135"/>
      <c r="AI51" s="135"/>
      <c r="AJ51" s="135"/>
      <c r="AK51" s="135"/>
      <c r="AL51" s="135"/>
      <c r="AM51" s="135"/>
      <c r="AN51" s="135"/>
      <c r="AO51" s="135"/>
      <c r="AP51" s="135"/>
      <c r="AQ51" s="135"/>
      <c r="AR51" s="135"/>
      <c r="AS51" s="135"/>
      <c r="AT51" s="135"/>
      <c r="AU51" s="135"/>
      <c r="AV51" s="135"/>
      <c r="AW51" s="135"/>
      <c r="AX51" s="135"/>
      <c r="AY51" s="135"/>
      <c r="AZ51" s="135"/>
      <c r="BA51" s="135"/>
      <c r="BB51" s="135"/>
      <c r="BC51" s="135"/>
      <c r="BD51" s="135"/>
      <c r="BE51" s="135"/>
      <c r="BF51" s="135"/>
      <c r="BG51" s="135"/>
      <c r="BH51" s="135"/>
      <c r="BI51" s="149"/>
    </row>
    <row r="52" spans="1:61" ht="15" customHeight="1" x14ac:dyDescent="0.25">
      <c r="A52" s="133"/>
      <c r="B52" s="159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2"/>
      <c r="V52" s="135"/>
      <c r="W52" s="159"/>
      <c r="X52" s="160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  <c r="AI52" s="160"/>
      <c r="AJ52" s="160"/>
      <c r="AK52" s="160"/>
      <c r="AL52" s="160"/>
      <c r="AM52" s="160"/>
      <c r="AN52" s="160"/>
      <c r="AO52" s="160"/>
      <c r="AP52" s="160"/>
      <c r="AQ52" s="160"/>
      <c r="AR52" s="160"/>
      <c r="AS52" s="160"/>
      <c r="AT52" s="160"/>
      <c r="AU52" s="160"/>
      <c r="AV52" s="160"/>
      <c r="AW52" s="160"/>
      <c r="AX52" s="160"/>
      <c r="AY52" s="160"/>
      <c r="AZ52" s="160"/>
      <c r="BA52" s="160"/>
      <c r="BB52" s="160"/>
      <c r="BC52" s="160"/>
      <c r="BD52" s="160"/>
      <c r="BE52" s="160"/>
      <c r="BF52" s="160"/>
      <c r="BG52" s="160"/>
      <c r="BH52" s="162"/>
      <c r="BI52" s="149"/>
    </row>
    <row r="53" spans="1:6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</row>
  </sheetData>
  <mergeCells count="59">
    <mergeCell ref="G41:I41"/>
    <mergeCell ref="O41:R41"/>
    <mergeCell ref="O50:R50"/>
    <mergeCell ref="AI28:AM28"/>
    <mergeCell ref="BD28:BF28"/>
    <mergeCell ref="AI29:AM29"/>
    <mergeCell ref="AR29:BH35"/>
    <mergeCell ref="AI30:AO30"/>
    <mergeCell ref="AI32:AM32"/>
    <mergeCell ref="AI34:AM34"/>
    <mergeCell ref="O46:R46"/>
    <mergeCell ref="O48:R48"/>
    <mergeCell ref="O38:R38"/>
    <mergeCell ref="O40:R40"/>
    <mergeCell ref="O43:R43"/>
    <mergeCell ref="O44:R44"/>
    <mergeCell ref="Y23:AG23"/>
    <mergeCell ref="AI23:AL23"/>
    <mergeCell ref="AR23:BH25"/>
    <mergeCell ref="Y24:AG24"/>
    <mergeCell ref="AI24:AL24"/>
    <mergeCell ref="AN24:AO24"/>
    <mergeCell ref="W17:AG18"/>
    <mergeCell ref="AI17:AO18"/>
    <mergeCell ref="W20:AG20"/>
    <mergeCell ref="AI20:AL20"/>
    <mergeCell ref="Y21:AG21"/>
    <mergeCell ref="AI21:AL21"/>
    <mergeCell ref="X9:AC9"/>
    <mergeCell ref="X10:AC10"/>
    <mergeCell ref="B11:I11"/>
    <mergeCell ref="AN13:AO13"/>
    <mergeCell ref="J11:T11"/>
    <mergeCell ref="B12:I12"/>
    <mergeCell ref="J12:T12"/>
    <mergeCell ref="X12:AC12"/>
    <mergeCell ref="AD12:AM12"/>
    <mergeCell ref="AN12:AO12"/>
    <mergeCell ref="B13:I13"/>
    <mergeCell ref="J13:T13"/>
    <mergeCell ref="X13:Z13"/>
    <mergeCell ref="AA13:AB13"/>
    <mergeCell ref="AD13:AM13"/>
    <mergeCell ref="O51:R51"/>
    <mergeCell ref="D6:I6"/>
    <mergeCell ref="J6:T6"/>
    <mergeCell ref="X6:AC6"/>
    <mergeCell ref="B2:BH2"/>
    <mergeCell ref="C5:I5"/>
    <mergeCell ref="J5:O5"/>
    <mergeCell ref="X5:AC5"/>
    <mergeCell ref="AR5:BH5"/>
    <mergeCell ref="X7:AC7"/>
    <mergeCell ref="B8:I8"/>
    <mergeCell ref="J8:T8"/>
    <mergeCell ref="X8:AC8"/>
    <mergeCell ref="AR8:BH20"/>
    <mergeCell ref="D9:I9"/>
    <mergeCell ref="J9:T9"/>
  </mergeCells>
  <conditionalFormatting sqref="J8:T8">
    <cfRule type="expression" dxfId="42" priority="7" stopIfTrue="1">
      <formula>$J$8="Autorizz. Inv. a Budget"</formula>
    </cfRule>
  </conditionalFormatting>
  <conditionalFormatting sqref="S40">
    <cfRule type="expression" dxfId="41" priority="2" stopIfTrue="1">
      <formula>$O$40&lt;0</formula>
    </cfRule>
  </conditionalFormatting>
  <conditionalFormatting sqref="S41:S44">
    <cfRule type="expression" dxfId="40" priority="8" stopIfTrue="1">
      <formula>$O$41&lt;$O$38</formula>
    </cfRule>
  </conditionalFormatting>
  <conditionalFormatting sqref="T5">
    <cfRule type="expression" dxfId="39" priority="3" stopIfTrue="1">
      <formula>($U$5=0)</formula>
    </cfRule>
    <cfRule type="expression" dxfId="38" priority="4" stopIfTrue="1">
      <formula>($U$5&gt;0)</formula>
    </cfRule>
  </conditionalFormatting>
  <conditionalFormatting sqref="AM21">
    <cfRule type="expression" dxfId="37" priority="1" stopIfTrue="1">
      <formula>$O$40&lt;0</formula>
    </cfRule>
  </conditionalFormatting>
  <conditionalFormatting sqref="BD28:BF28">
    <cfRule type="cellIs" dxfId="36" priority="5" stopIfTrue="1" operator="notEqual">
      <formula>""</formula>
    </cfRule>
  </conditionalFormatting>
  <printOptions horizontalCentered="1" verticalCentered="1"/>
  <pageMargins left="7.874015748031496E-2" right="7.874015748031496E-2" top="0.39370078740157483" bottom="0.59055118110236227" header="0" footer="7.874015748031496E-2"/>
  <pageSetup paperSize="9" scale="64" orientation="landscape" r:id="rId1"/>
  <headerFooter scaleWithDoc="0">
    <oddFooter>&amp;CRiepilogo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92D050"/>
  </sheetPr>
  <dimension ref="B1:F35"/>
  <sheetViews>
    <sheetView showGridLines="0" zoomScaleNormal="100" zoomScaleSheetLayoutView="100" workbookViewId="0">
      <selection activeCell="B2" sqref="B2:C35"/>
    </sheetView>
  </sheetViews>
  <sheetFormatPr defaultColWidth="8.85546875" defaultRowHeight="12.75" x14ac:dyDescent="0.2"/>
  <cols>
    <col min="1" max="1" width="5.140625" style="88" customWidth="1"/>
    <col min="2" max="2" width="40.7109375" style="88" customWidth="1"/>
    <col min="3" max="3" width="25.7109375" style="88" customWidth="1"/>
    <col min="4" max="4" width="9.85546875" style="88" customWidth="1"/>
    <col min="5" max="5" width="40.7109375" style="88" customWidth="1"/>
    <col min="6" max="6" width="28.7109375" style="88" customWidth="1"/>
    <col min="7" max="16384" width="8.85546875" style="88"/>
  </cols>
  <sheetData>
    <row r="1" spans="2:6" ht="9.75" customHeight="1" x14ac:dyDescent="0.2">
      <c r="B1" s="233"/>
      <c r="C1" s="234"/>
      <c r="D1" s="234"/>
    </row>
    <row r="2" spans="2:6" ht="27" customHeight="1" x14ac:dyDescent="0.2">
      <c r="B2" s="233"/>
      <c r="C2" s="234"/>
      <c r="D2" s="234"/>
    </row>
    <row r="3" spans="2:6" ht="23.25" customHeight="1" x14ac:dyDescent="0.4">
      <c r="B3" s="236" t="s">
        <v>123</v>
      </c>
      <c r="C3" s="237"/>
      <c r="E3" s="236" t="s">
        <v>124</v>
      </c>
      <c r="F3" s="237"/>
    </row>
    <row r="4" spans="2:6" ht="15" customHeight="1" x14ac:dyDescent="0.2">
      <c r="B4" s="280"/>
      <c r="C4" s="281"/>
      <c r="E4" s="282"/>
      <c r="F4" s="268"/>
    </row>
    <row r="5" spans="2:6" ht="15" customHeight="1" x14ac:dyDescent="0.2">
      <c r="B5" s="243" t="s">
        <v>125</v>
      </c>
      <c r="C5" s="238"/>
      <c r="E5" s="244" t="s">
        <v>107</v>
      </c>
      <c r="F5" s="261" t="str">
        <f>IN!C4</f>
        <v>Comune di Lodi (LO)</v>
      </c>
    </row>
    <row r="6" spans="2:6" ht="15" customHeight="1" x14ac:dyDescent="0.2">
      <c r="B6" s="242" t="s">
        <v>126</v>
      </c>
      <c r="C6" s="245">
        <f>IN!C54</f>
        <v>0.24</v>
      </c>
      <c r="E6" s="244"/>
      <c r="F6" s="238"/>
    </row>
    <row r="7" spans="2:6" ht="15" customHeight="1" x14ac:dyDescent="0.2">
      <c r="B7" s="242" t="s">
        <v>127</v>
      </c>
      <c r="C7" s="245">
        <f>IN!C55</f>
        <v>4.2000000000000003E-2</v>
      </c>
      <c r="E7" s="244" t="s">
        <v>89</v>
      </c>
      <c r="F7" s="262" t="str">
        <f>IN!C66</f>
        <v>Hera Luce</v>
      </c>
    </row>
    <row r="8" spans="2:6" ht="15" customHeight="1" x14ac:dyDescent="0.2">
      <c r="B8" s="242" t="s">
        <v>128</v>
      </c>
      <c r="C8" s="246">
        <f>1/IN!C47</f>
        <v>4.3478260869565216E-2</v>
      </c>
      <c r="E8" s="244" t="s">
        <v>91</v>
      </c>
      <c r="F8" s="262" t="str">
        <f>IN!C67</f>
        <v>Altri Servizi</v>
      </c>
    </row>
    <row r="9" spans="2:6" ht="15" customHeight="1" x14ac:dyDescent="0.2">
      <c r="B9" s="242" t="s">
        <v>129</v>
      </c>
      <c r="C9" s="247">
        <f>IN!C51</f>
        <v>2027</v>
      </c>
      <c r="E9" s="244" t="s">
        <v>93</v>
      </c>
      <c r="F9" s="262" t="str">
        <f>IN!C68</f>
        <v>Pubblica Illuminazione</v>
      </c>
    </row>
    <row r="10" spans="2:6" ht="15" customHeight="1" x14ac:dyDescent="0.2">
      <c r="B10" s="242" t="s">
        <v>130</v>
      </c>
      <c r="C10" s="248">
        <f>IN!C53</f>
        <v>0.22</v>
      </c>
      <c r="E10" s="244" t="s">
        <v>95</v>
      </c>
      <c r="F10" s="262" t="str">
        <f>IN!C69</f>
        <v>Impianti</v>
      </c>
    </row>
    <row r="11" spans="2:6" ht="15" customHeight="1" x14ac:dyDescent="0.2">
      <c r="B11" s="242" t="s">
        <v>131</v>
      </c>
      <c r="C11" s="248">
        <f>IN!C53</f>
        <v>0.22</v>
      </c>
      <c r="E11" s="244" t="s">
        <v>97</v>
      </c>
      <c r="F11" s="262" t="str">
        <f>IN!C70</f>
        <v>Nuove Opere/Iniziat.</v>
      </c>
    </row>
    <row r="12" spans="2:6" ht="15" customHeight="1" x14ac:dyDescent="0.2">
      <c r="B12" s="243" t="s">
        <v>132</v>
      </c>
      <c r="C12" s="249"/>
      <c r="E12" s="244" t="s">
        <v>99</v>
      </c>
      <c r="F12" s="262" t="str">
        <f>IN!C71</f>
        <v>Ritorno Economico</v>
      </c>
    </row>
    <row r="13" spans="2:6" ht="15" customHeight="1" x14ac:dyDescent="0.2">
      <c r="B13" s="242" t="s">
        <v>68</v>
      </c>
      <c r="C13" s="250">
        <f>IN!C58</f>
        <v>60</v>
      </c>
      <c r="E13" s="244"/>
      <c r="F13" s="269"/>
    </row>
    <row r="14" spans="2:6" ht="15" customHeight="1" x14ac:dyDescent="0.2">
      <c r="B14" s="242" t="s">
        <v>69</v>
      </c>
      <c r="C14" s="250">
        <f>IN!C59</f>
        <v>60</v>
      </c>
      <c r="E14" s="244" t="s">
        <v>108</v>
      </c>
      <c r="F14" s="263" t="str">
        <f>IN!C10</f>
        <v>Alessandro Battistini</v>
      </c>
    </row>
    <row r="15" spans="2:6" ht="15" customHeight="1" x14ac:dyDescent="0.2">
      <c r="B15" s="242" t="s">
        <v>70</v>
      </c>
      <c r="C15" s="250">
        <f>IN!C60</f>
        <v>0</v>
      </c>
      <c r="E15" s="244" t="s">
        <v>109</v>
      </c>
      <c r="F15" s="263" t="str">
        <f>IN!C11</f>
        <v>Alessandro Battistini</v>
      </c>
    </row>
    <row r="16" spans="2:6" ht="15" customHeight="1" x14ac:dyDescent="0.2">
      <c r="B16" s="242" t="s">
        <v>71</v>
      </c>
      <c r="C16" s="251">
        <f>IN!C61</f>
        <v>0.16438356164383561</v>
      </c>
      <c r="E16" s="244" t="s">
        <v>101</v>
      </c>
      <c r="F16" s="263" t="str">
        <f>IN!C72</f>
        <v>No</v>
      </c>
    </row>
    <row r="17" spans="2:6" ht="15" customHeight="1" x14ac:dyDescent="0.2">
      <c r="B17" s="242" t="s">
        <v>73</v>
      </c>
      <c r="C17" s="251">
        <f>IN!C62</f>
        <v>0.16438356164383561</v>
      </c>
      <c r="E17" s="252"/>
      <c r="F17" s="238"/>
    </row>
    <row r="18" spans="2:6" ht="15" customHeight="1" x14ac:dyDescent="0.2">
      <c r="B18" s="242" t="s">
        <v>75</v>
      </c>
      <c r="C18" s="251">
        <f>IN!C63</f>
        <v>0</v>
      </c>
      <c r="E18" s="770" t="s">
        <v>133</v>
      </c>
      <c r="F18" s="771">
        <f>SUM(IN!J57:J60)</f>
        <v>5407753.2212252971</v>
      </c>
    </row>
    <row r="19" spans="2:6" ht="15" customHeight="1" x14ac:dyDescent="0.2">
      <c r="B19" s="243" t="s">
        <v>134</v>
      </c>
      <c r="C19" s="238"/>
      <c r="E19" s="770"/>
      <c r="F19" s="772"/>
    </row>
    <row r="20" spans="2:6" ht="15" customHeight="1" x14ac:dyDescent="0.2">
      <c r="B20" s="244" t="s">
        <v>135</v>
      </c>
      <c r="C20" s="253" t="s">
        <v>136</v>
      </c>
      <c r="E20" s="770"/>
      <c r="F20" s="773"/>
    </row>
    <row r="21" spans="2:6" ht="15" customHeight="1" x14ac:dyDescent="0.2">
      <c r="B21" s="235"/>
      <c r="C21" s="238"/>
      <c r="E21" s="235"/>
      <c r="F21" s="238"/>
    </row>
    <row r="22" spans="2:6" ht="15" customHeight="1" x14ac:dyDescent="0.2">
      <c r="B22" s="244" t="s">
        <v>111</v>
      </c>
      <c r="C22" s="264">
        <f>IN!C7</f>
        <v>46079</v>
      </c>
      <c r="E22" s="244"/>
      <c r="F22" s="413"/>
    </row>
    <row r="23" spans="2:6" ht="15" customHeight="1" x14ac:dyDescent="0.2">
      <c r="B23" s="244" t="s">
        <v>137</v>
      </c>
      <c r="C23" s="272">
        <f>IN!C51</f>
        <v>2027</v>
      </c>
      <c r="E23" s="235"/>
      <c r="F23" s="270"/>
    </row>
    <row r="24" spans="2:6" ht="15" customHeight="1" x14ac:dyDescent="0.2">
      <c r="B24" s="244" t="s">
        <v>138</v>
      </c>
      <c r="C24" s="272">
        <f>IN!C51</f>
        <v>2027</v>
      </c>
      <c r="E24" s="244" t="s">
        <v>115</v>
      </c>
      <c r="F24" s="254">
        <v>0</v>
      </c>
    </row>
    <row r="25" spans="2:6" ht="15" customHeight="1" x14ac:dyDescent="0.2">
      <c r="B25" s="244"/>
      <c r="C25" s="255"/>
      <c r="E25" s="244" t="s">
        <v>116</v>
      </c>
      <c r="F25" s="251">
        <v>0</v>
      </c>
    </row>
    <row r="26" spans="2:6" ht="15" customHeight="1" x14ac:dyDescent="0.2">
      <c r="B26" s="244" t="s">
        <v>47</v>
      </c>
      <c r="C26" s="273">
        <f>IN!C44</f>
        <v>4.9799999999999997E-2</v>
      </c>
      <c r="E26" s="244" t="s">
        <v>117</v>
      </c>
      <c r="F26" s="263" t="str">
        <f>IN!I34</f>
        <v>Comune di Lodi (LO)</v>
      </c>
    </row>
    <row r="27" spans="2:6" ht="15" customHeight="1" x14ac:dyDescent="0.2">
      <c r="B27" s="256"/>
      <c r="C27" s="257"/>
      <c r="E27" s="244" t="s">
        <v>118</v>
      </c>
      <c r="F27" s="258">
        <f>SUM(IN!J57:J60)-SUM(IN!K57:K58)</f>
        <v>5407753.2212252971</v>
      </c>
    </row>
    <row r="28" spans="2:6" ht="15" customHeight="1" x14ac:dyDescent="0.2">
      <c r="B28" s="259" t="s">
        <v>139</v>
      </c>
      <c r="C28" s="260">
        <v>0.115</v>
      </c>
      <c r="E28" s="244"/>
      <c r="F28" s="271"/>
    </row>
    <row r="29" spans="2:6" ht="15" customHeight="1" x14ac:dyDescent="0.2">
      <c r="B29" s="259"/>
      <c r="C29" s="260"/>
      <c r="E29" s="244"/>
      <c r="F29" s="238"/>
    </row>
    <row r="30" spans="2:6" ht="15" customHeight="1" x14ac:dyDescent="0.2">
      <c r="B30" s="259" t="s">
        <v>140</v>
      </c>
      <c r="C30" s="260"/>
      <c r="E30" s="244" t="s">
        <v>3</v>
      </c>
      <c r="F30" s="258" t="str">
        <f>IN!C5</f>
        <v>Autorizz. Inv. a Budget</v>
      </c>
    </row>
    <row r="31" spans="2:6" ht="15" customHeight="1" x14ac:dyDescent="0.2">
      <c r="B31" s="266"/>
      <c r="C31" s="267"/>
      <c r="E31" s="244" t="s">
        <v>141</v>
      </c>
      <c r="F31" s="239">
        <f>SUM(IN!J57:J60)</f>
        <v>5407753.2212252971</v>
      </c>
    </row>
    <row r="32" spans="2:6" ht="15" customHeight="1" x14ac:dyDescent="0.2">
      <c r="B32" s="235"/>
      <c r="C32" s="265"/>
      <c r="E32" s="235"/>
      <c r="F32" s="238"/>
    </row>
    <row r="33" spans="2:6" ht="15" customHeight="1" x14ac:dyDescent="0.2">
      <c r="B33" s="235"/>
      <c r="C33" s="265"/>
      <c r="E33" s="244" t="s">
        <v>103</v>
      </c>
      <c r="F33" s="264" t="str">
        <f>IN!C73</f>
        <v>Si</v>
      </c>
    </row>
    <row r="34" spans="2:6" ht="15" customHeight="1" x14ac:dyDescent="0.2">
      <c r="B34" s="235"/>
      <c r="C34" s="265"/>
      <c r="E34" s="244" t="s">
        <v>105</v>
      </c>
      <c r="F34" s="264" t="str">
        <f>IN!C74</f>
        <v>Si</v>
      </c>
    </row>
    <row r="35" spans="2:6" ht="15" customHeight="1" x14ac:dyDescent="0.2">
      <c r="B35" s="240"/>
      <c r="C35" s="241"/>
      <c r="E35" s="240"/>
      <c r="F35" s="241"/>
    </row>
  </sheetData>
  <mergeCells count="2">
    <mergeCell ref="E18:E20"/>
    <mergeCell ref="F18:F20"/>
  </mergeCells>
  <pageMargins left="0.39370078740157483" right="7.874015748031496E-2" top="0.15748031496062992" bottom="0.35433070866141736" header="7.874015748031496E-2" footer="7.874015748031496E-2"/>
  <pageSetup paperSize="9" scale="80" orientation="landscape" r:id="rId1"/>
  <headerFooter scaleWithDoc="0" alignWithMargins="0">
    <oddFooter>&amp;C&amp;"Calibri,Normale"&amp;K000000Dati di base&amp;RPag 1</oddFooter>
  </headerFooter>
  <ignoredErrors>
    <ignoredError sqref="F5:F8 C8 C19:C27 C10:C15 F33:F35 F30:F31 F29 F32 F9:F21 D23:H23 C9:E9 G9:H22 D33:E35 D32:E32 G32:H32 D30:E31 D29:E29 G29:H29 D24:E28 G24:H28 G30:H31 G33:H35 C16:E18 D10:E15 D19:E21 F26:F28 C29:C31 D22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oglio5">
    <tabColor rgb="FF92D050"/>
    <pageSetUpPr fitToPage="1"/>
  </sheetPr>
  <dimension ref="A1:AQ15"/>
  <sheetViews>
    <sheetView zoomScale="90" zoomScaleNormal="90" workbookViewId="0">
      <selection activeCell="K22" sqref="K22"/>
    </sheetView>
  </sheetViews>
  <sheetFormatPr defaultRowHeight="15" x14ac:dyDescent="0.25"/>
  <cols>
    <col min="1" max="1" width="4" customWidth="1"/>
    <col min="3" max="3" width="28.7109375" customWidth="1"/>
    <col min="4" max="5" width="14.7109375" customWidth="1"/>
    <col min="6" max="6" width="1.85546875" customWidth="1"/>
    <col min="7" max="42" width="3.7109375" customWidth="1"/>
  </cols>
  <sheetData>
    <row r="1" spans="1:43" x14ac:dyDescent="0.25">
      <c r="A1" s="4"/>
      <c r="B1" s="69"/>
      <c r="C1" s="70"/>
      <c r="D1" s="70"/>
      <c r="E1" s="70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4"/>
    </row>
    <row r="2" spans="1:43" ht="23.25" x14ac:dyDescent="0.35">
      <c r="A2" s="4"/>
      <c r="B2" s="374"/>
      <c r="C2" s="375" t="s">
        <v>142</v>
      </c>
      <c r="D2" s="376"/>
      <c r="E2" s="377"/>
      <c r="F2" s="69"/>
      <c r="G2" s="71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4"/>
    </row>
    <row r="3" spans="1:43" ht="15" customHeight="1" x14ac:dyDescent="0.25">
      <c r="A3" s="4"/>
      <c r="B3" s="380"/>
      <c r="C3" s="69"/>
      <c r="D3" s="69"/>
      <c r="E3" s="774" t="s">
        <v>143</v>
      </c>
      <c r="F3" s="69"/>
      <c r="G3" s="846" t="s">
        <v>329</v>
      </c>
      <c r="H3" s="847"/>
      <c r="I3" s="847"/>
      <c r="J3" s="847"/>
      <c r="K3" s="847"/>
      <c r="L3" s="853"/>
      <c r="M3" s="845" t="s">
        <v>330</v>
      </c>
      <c r="N3" s="854"/>
      <c r="O3" s="854"/>
      <c r="P3" s="854"/>
      <c r="Q3" s="854"/>
      <c r="R3" s="855"/>
      <c r="S3" s="845" t="s">
        <v>331</v>
      </c>
      <c r="T3" s="854"/>
      <c r="U3" s="854"/>
      <c r="V3" s="854"/>
      <c r="W3" s="854"/>
      <c r="X3" s="855"/>
      <c r="Y3" s="845" t="s">
        <v>332</v>
      </c>
      <c r="Z3" s="854"/>
      <c r="AA3" s="854"/>
      <c r="AB3" s="854"/>
      <c r="AC3" s="854"/>
      <c r="AD3" s="855"/>
      <c r="AE3" s="845" t="s">
        <v>333</v>
      </c>
      <c r="AF3" s="854"/>
      <c r="AG3" s="854"/>
      <c r="AH3" s="854"/>
      <c r="AI3" s="854"/>
      <c r="AJ3" s="855"/>
      <c r="AK3" s="845" t="s">
        <v>334</v>
      </c>
      <c r="AL3" s="854"/>
      <c r="AM3" s="854"/>
      <c r="AN3" s="854"/>
      <c r="AO3" s="854"/>
      <c r="AP3" s="855"/>
      <c r="AQ3" s="4"/>
    </row>
    <row r="4" spans="1:43" ht="15" customHeight="1" x14ac:dyDescent="0.25">
      <c r="A4" s="4"/>
      <c r="B4" s="380"/>
      <c r="C4" s="69"/>
      <c r="D4" s="69"/>
      <c r="E4" s="774"/>
      <c r="F4" s="69"/>
      <c r="G4" s="371">
        <f>1</f>
        <v>1</v>
      </c>
      <c r="H4" s="372"/>
      <c r="I4" s="372"/>
      <c r="J4" s="372"/>
      <c r="K4" s="372"/>
      <c r="L4" s="373"/>
      <c r="M4" s="371">
        <f>G4+1</f>
        <v>2</v>
      </c>
      <c r="N4" s="372"/>
      <c r="O4" s="372"/>
      <c r="P4" s="372"/>
      <c r="Q4" s="372"/>
      <c r="R4" s="373"/>
      <c r="S4" s="371">
        <f>M4+1</f>
        <v>3</v>
      </c>
      <c r="T4" s="372"/>
      <c r="U4" s="372"/>
      <c r="V4" s="372"/>
      <c r="W4" s="372"/>
      <c r="X4" s="373"/>
      <c r="Y4" s="371">
        <f>S4+1</f>
        <v>4</v>
      </c>
      <c r="Z4" s="372"/>
      <c r="AA4" s="372"/>
      <c r="AB4" s="372"/>
      <c r="AC4" s="372"/>
      <c r="AD4" s="373"/>
      <c r="AE4" s="371">
        <f>Y4+1</f>
        <v>5</v>
      </c>
      <c r="AF4" s="372"/>
      <c r="AG4" s="372"/>
      <c r="AH4" s="372"/>
      <c r="AI4" s="372"/>
      <c r="AJ4" s="373"/>
      <c r="AK4" s="371">
        <f>AE4+1</f>
        <v>6</v>
      </c>
      <c r="AL4" s="372"/>
      <c r="AM4" s="372"/>
      <c r="AN4" s="372"/>
      <c r="AO4" s="372"/>
      <c r="AP4" s="373"/>
      <c r="AQ4" s="4"/>
    </row>
    <row r="5" spans="1:43" ht="15" customHeight="1" x14ac:dyDescent="0.25">
      <c r="A5" s="4"/>
      <c r="B5" s="381" t="s">
        <v>144</v>
      </c>
      <c r="C5" s="382" t="s">
        <v>145</v>
      </c>
      <c r="D5" s="383" t="s">
        <v>146</v>
      </c>
      <c r="E5" s="384" t="s">
        <v>147</v>
      </c>
      <c r="F5" s="69"/>
      <c r="G5" s="365" t="s">
        <v>148</v>
      </c>
      <c r="H5" s="366" t="s">
        <v>149</v>
      </c>
      <c r="I5" s="366" t="s">
        <v>150</v>
      </c>
      <c r="J5" s="366" t="s">
        <v>151</v>
      </c>
      <c r="K5" s="366" t="s">
        <v>152</v>
      </c>
      <c r="L5" s="72" t="s">
        <v>153</v>
      </c>
      <c r="M5" s="365" t="s">
        <v>148</v>
      </c>
      <c r="N5" s="367" t="s">
        <v>149</v>
      </c>
      <c r="O5" s="368" t="s">
        <v>150</v>
      </c>
      <c r="P5" s="366" t="s">
        <v>151</v>
      </c>
      <c r="Q5" s="366" t="s">
        <v>152</v>
      </c>
      <c r="R5" s="369" t="s">
        <v>153</v>
      </c>
      <c r="S5" s="365" t="s">
        <v>148</v>
      </c>
      <c r="T5" s="366" t="s">
        <v>149</v>
      </c>
      <c r="U5" s="366" t="s">
        <v>150</v>
      </c>
      <c r="V5" s="366" t="s">
        <v>151</v>
      </c>
      <c r="W5" s="366" t="s">
        <v>152</v>
      </c>
      <c r="X5" s="369" t="s">
        <v>153</v>
      </c>
      <c r="Y5" s="370" t="s">
        <v>148</v>
      </c>
      <c r="Z5" s="368" t="s">
        <v>149</v>
      </c>
      <c r="AA5" s="367" t="s">
        <v>150</v>
      </c>
      <c r="AB5" s="368" t="s">
        <v>151</v>
      </c>
      <c r="AC5" s="366" t="s">
        <v>152</v>
      </c>
      <c r="AD5" s="369" t="s">
        <v>153</v>
      </c>
      <c r="AE5" s="365" t="s">
        <v>148</v>
      </c>
      <c r="AF5" s="367" t="s">
        <v>149</v>
      </c>
      <c r="AG5" s="73" t="s">
        <v>150</v>
      </c>
      <c r="AH5" s="368" t="s">
        <v>151</v>
      </c>
      <c r="AI5" s="366" t="s">
        <v>152</v>
      </c>
      <c r="AJ5" s="369" t="s">
        <v>153</v>
      </c>
      <c r="AK5" s="365" t="s">
        <v>148</v>
      </c>
      <c r="AL5" s="367" t="s">
        <v>149</v>
      </c>
      <c r="AM5" s="73" t="s">
        <v>150</v>
      </c>
      <c r="AN5" s="73" t="s">
        <v>151</v>
      </c>
      <c r="AO5" s="368" t="s">
        <v>152</v>
      </c>
      <c r="AP5" s="369" t="s">
        <v>153</v>
      </c>
      <c r="AQ5" s="4"/>
    </row>
    <row r="6" spans="1:43" ht="15" customHeight="1" x14ac:dyDescent="0.25">
      <c r="A6" s="4"/>
      <c r="B6" s="74"/>
      <c r="C6" s="360"/>
      <c r="D6" s="355"/>
      <c r="E6" s="355"/>
      <c r="F6" s="69"/>
      <c r="G6" s="75">
        <v>46023</v>
      </c>
      <c r="H6" s="76">
        <v>46082</v>
      </c>
      <c r="I6" s="76">
        <v>46143</v>
      </c>
      <c r="J6" s="76">
        <v>46204</v>
      </c>
      <c r="K6" s="76">
        <v>46266</v>
      </c>
      <c r="L6" s="77">
        <v>46327</v>
      </c>
      <c r="M6" s="75" t="e">
        <f t="shared" ref="M6:R6" si="0">DATE($M$3,M5,1)</f>
        <v>#VALUE!</v>
      </c>
      <c r="N6" s="76" t="e">
        <f t="shared" si="0"/>
        <v>#VALUE!</v>
      </c>
      <c r="O6" s="76" t="e">
        <f t="shared" si="0"/>
        <v>#VALUE!</v>
      </c>
      <c r="P6" s="76" t="e">
        <f t="shared" si="0"/>
        <v>#VALUE!</v>
      </c>
      <c r="Q6" s="76" t="e">
        <f t="shared" si="0"/>
        <v>#VALUE!</v>
      </c>
      <c r="R6" s="77" t="e">
        <f t="shared" si="0"/>
        <v>#VALUE!</v>
      </c>
      <c r="S6" s="75" t="e">
        <f t="shared" ref="S6:X6" si="1">DATE($S$3,S5,1)</f>
        <v>#VALUE!</v>
      </c>
      <c r="T6" s="76" t="e">
        <f t="shared" si="1"/>
        <v>#VALUE!</v>
      </c>
      <c r="U6" s="76" t="e">
        <f t="shared" si="1"/>
        <v>#VALUE!</v>
      </c>
      <c r="V6" s="76" t="e">
        <f t="shared" si="1"/>
        <v>#VALUE!</v>
      </c>
      <c r="W6" s="76" t="e">
        <f t="shared" si="1"/>
        <v>#VALUE!</v>
      </c>
      <c r="X6" s="77" t="e">
        <f t="shared" si="1"/>
        <v>#VALUE!</v>
      </c>
      <c r="Y6" s="75" t="e">
        <f t="shared" ref="Y6:AD6" si="2">DATE($Y$3,Y5,1)</f>
        <v>#VALUE!</v>
      </c>
      <c r="Z6" s="76" t="e">
        <f t="shared" si="2"/>
        <v>#VALUE!</v>
      </c>
      <c r="AA6" s="76" t="e">
        <f t="shared" si="2"/>
        <v>#VALUE!</v>
      </c>
      <c r="AB6" s="76" t="e">
        <f t="shared" si="2"/>
        <v>#VALUE!</v>
      </c>
      <c r="AC6" s="76" t="e">
        <f t="shared" si="2"/>
        <v>#VALUE!</v>
      </c>
      <c r="AD6" s="77" t="e">
        <f t="shared" si="2"/>
        <v>#VALUE!</v>
      </c>
      <c r="AE6" s="75" t="e">
        <f t="shared" ref="AE6:AJ6" si="3">DATE($AE$3,AE5,1)</f>
        <v>#VALUE!</v>
      </c>
      <c r="AF6" s="76" t="e">
        <f t="shared" si="3"/>
        <v>#VALUE!</v>
      </c>
      <c r="AG6" s="76" t="e">
        <f t="shared" si="3"/>
        <v>#VALUE!</v>
      </c>
      <c r="AH6" s="76" t="e">
        <f t="shared" si="3"/>
        <v>#VALUE!</v>
      </c>
      <c r="AI6" s="76" t="e">
        <f t="shared" si="3"/>
        <v>#VALUE!</v>
      </c>
      <c r="AJ6" s="77" t="e">
        <f t="shared" si="3"/>
        <v>#VALUE!</v>
      </c>
      <c r="AK6" s="75" t="e">
        <f t="shared" ref="AK6:AP6" si="4">DATE($AK$3,AK5,1)</f>
        <v>#VALUE!</v>
      </c>
      <c r="AL6" s="76" t="e">
        <f t="shared" si="4"/>
        <v>#VALUE!</v>
      </c>
      <c r="AM6" s="76" t="e">
        <f t="shared" si="4"/>
        <v>#VALUE!</v>
      </c>
      <c r="AN6" s="76" t="e">
        <f t="shared" si="4"/>
        <v>#VALUE!</v>
      </c>
      <c r="AO6" s="76" t="e">
        <f t="shared" si="4"/>
        <v>#VALUE!</v>
      </c>
      <c r="AP6" s="77" t="e">
        <f t="shared" si="4"/>
        <v>#VALUE!</v>
      </c>
      <c r="AQ6" s="4"/>
    </row>
    <row r="7" spans="1:43" ht="15" customHeight="1" x14ac:dyDescent="0.25">
      <c r="A7" s="4"/>
      <c r="B7" s="364">
        <v>1</v>
      </c>
      <c r="C7" s="361" t="s">
        <v>35</v>
      </c>
      <c r="D7" s="356" t="s">
        <v>557</v>
      </c>
      <c r="E7" s="357" t="s">
        <v>557</v>
      </c>
      <c r="F7" s="69"/>
      <c r="G7" s="849">
        <v>1</v>
      </c>
      <c r="H7" s="79">
        <v>0</v>
      </c>
      <c r="I7" s="79">
        <v>0</v>
      </c>
      <c r="J7" s="79">
        <v>0</v>
      </c>
      <c r="K7" s="79">
        <v>0</v>
      </c>
      <c r="L7" s="80">
        <v>0</v>
      </c>
      <c r="M7" s="78"/>
      <c r="N7" s="79"/>
      <c r="O7" s="79"/>
      <c r="P7" s="79"/>
      <c r="Q7" s="79"/>
      <c r="R7" s="80"/>
      <c r="S7" s="78"/>
      <c r="T7" s="79"/>
      <c r="U7" s="79"/>
      <c r="V7" s="79"/>
      <c r="W7" s="79"/>
      <c r="X7" s="80"/>
      <c r="Y7" s="78"/>
      <c r="Z7" s="79"/>
      <c r="AA7" s="79"/>
      <c r="AB7" s="79"/>
      <c r="AC7" s="79"/>
      <c r="AD7" s="80"/>
      <c r="AE7" s="78"/>
      <c r="AF7" s="79"/>
      <c r="AG7" s="79"/>
      <c r="AH7" s="79"/>
      <c r="AI7" s="79"/>
      <c r="AJ7" s="80"/>
      <c r="AK7" s="78"/>
      <c r="AL7" s="79"/>
      <c r="AM7" s="79"/>
      <c r="AN7" s="79"/>
      <c r="AO7" s="79"/>
      <c r="AP7" s="80"/>
      <c r="AQ7" s="4"/>
    </row>
    <row r="8" spans="1:43" ht="15" customHeight="1" x14ac:dyDescent="0.25">
      <c r="A8" s="4"/>
      <c r="B8" s="81"/>
      <c r="C8" s="362"/>
      <c r="D8" s="358"/>
      <c r="E8" s="358"/>
      <c r="F8" s="69"/>
      <c r="G8" s="78"/>
      <c r="H8" s="79"/>
      <c r="I8" s="79"/>
      <c r="J8" s="79"/>
      <c r="K8" s="79"/>
      <c r="L8" s="80"/>
      <c r="M8" s="78"/>
      <c r="N8" s="79"/>
      <c r="O8" s="79"/>
      <c r="P8" s="79"/>
      <c r="Q8" s="79"/>
      <c r="R8" s="80"/>
      <c r="S8" s="78"/>
      <c r="T8" s="79"/>
      <c r="U8" s="79"/>
      <c r="V8" s="79"/>
      <c r="W8" s="79"/>
      <c r="X8" s="80"/>
      <c r="Y8" s="78"/>
      <c r="Z8" s="79"/>
      <c r="AA8" s="79"/>
      <c r="AB8" s="79"/>
      <c r="AC8" s="79"/>
      <c r="AD8" s="80"/>
      <c r="AE8" s="78"/>
      <c r="AF8" s="79"/>
      <c r="AG8" s="79"/>
      <c r="AH8" s="79"/>
      <c r="AI8" s="79"/>
      <c r="AJ8" s="80"/>
      <c r="AK8" s="78"/>
      <c r="AL8" s="79"/>
      <c r="AM8" s="79"/>
      <c r="AN8" s="79"/>
      <c r="AO8" s="79"/>
      <c r="AP8" s="80"/>
      <c r="AQ8" s="4"/>
    </row>
    <row r="9" spans="1:43" ht="19.5" customHeight="1" x14ac:dyDescent="0.25">
      <c r="A9" s="4"/>
      <c r="B9" s="364" t="s">
        <v>154</v>
      </c>
      <c r="C9" s="363" t="s">
        <v>301</v>
      </c>
      <c r="D9" s="356" t="s">
        <v>558</v>
      </c>
      <c r="E9" s="357" t="s">
        <v>558</v>
      </c>
      <c r="F9" s="69"/>
      <c r="G9" s="78">
        <v>1</v>
      </c>
      <c r="H9" s="79">
        <v>0</v>
      </c>
      <c r="I9" s="79">
        <v>0</v>
      </c>
      <c r="J9" s="79">
        <v>0</v>
      </c>
      <c r="K9" s="79">
        <v>0</v>
      </c>
      <c r="L9" s="80">
        <v>0</v>
      </c>
      <c r="M9" s="78"/>
      <c r="N9" s="79"/>
      <c r="O9" s="79"/>
      <c r="P9" s="79"/>
      <c r="Q9" s="79"/>
      <c r="R9" s="80"/>
      <c r="S9" s="78"/>
      <c r="T9" s="79"/>
      <c r="U9" s="79"/>
      <c r="V9" s="79"/>
      <c r="W9" s="79"/>
      <c r="X9" s="80"/>
      <c r="Y9" s="78"/>
      <c r="Z9" s="79"/>
      <c r="AA9" s="79"/>
      <c r="AB9" s="79"/>
      <c r="AC9" s="79"/>
      <c r="AD9" s="80"/>
      <c r="AE9" s="78"/>
      <c r="AF9" s="79"/>
      <c r="AG9" s="79"/>
      <c r="AH9" s="79"/>
      <c r="AI9" s="79"/>
      <c r="AJ9" s="80"/>
      <c r="AK9" s="78"/>
      <c r="AL9" s="79"/>
      <c r="AM9" s="79"/>
      <c r="AN9" s="79"/>
      <c r="AO9" s="79"/>
      <c r="AP9" s="80"/>
      <c r="AQ9" s="4"/>
    </row>
    <row r="10" spans="1:43" ht="15" customHeight="1" x14ac:dyDescent="0.25">
      <c r="A10" s="4"/>
      <c r="B10" s="81"/>
      <c r="C10" s="362"/>
      <c r="D10" s="358"/>
      <c r="E10" s="358"/>
      <c r="F10" s="69"/>
      <c r="G10" s="78"/>
      <c r="H10" s="79"/>
      <c r="I10" s="79"/>
      <c r="J10" s="79"/>
      <c r="K10" s="79"/>
      <c r="L10" s="80"/>
      <c r="M10" s="78"/>
      <c r="N10" s="79"/>
      <c r="O10" s="79"/>
      <c r="P10" s="79"/>
      <c r="Q10" s="79"/>
      <c r="R10" s="80"/>
      <c r="S10" s="78"/>
      <c r="T10" s="79"/>
      <c r="U10" s="79"/>
      <c r="V10" s="79"/>
      <c r="W10" s="79"/>
      <c r="X10" s="80"/>
      <c r="Y10" s="78"/>
      <c r="Z10" s="79"/>
      <c r="AA10" s="79"/>
      <c r="AB10" s="79"/>
      <c r="AC10" s="79"/>
      <c r="AD10" s="80"/>
      <c r="AE10" s="78"/>
      <c r="AF10" s="79"/>
      <c r="AG10" s="79"/>
      <c r="AH10" s="79"/>
      <c r="AI10" s="79"/>
      <c r="AJ10" s="80"/>
      <c r="AK10" s="78"/>
      <c r="AL10" s="79"/>
      <c r="AM10" s="79"/>
      <c r="AN10" s="79"/>
      <c r="AO10" s="79"/>
      <c r="AP10" s="80"/>
      <c r="AQ10" s="4"/>
    </row>
    <row r="11" spans="1:43" ht="15" customHeight="1" x14ac:dyDescent="0.25">
      <c r="A11" s="4"/>
      <c r="B11" s="364" t="s">
        <v>155</v>
      </c>
      <c r="C11" s="363" t="s">
        <v>36</v>
      </c>
      <c r="D11" s="356" t="s">
        <v>559</v>
      </c>
      <c r="E11" s="357" t="s">
        <v>560</v>
      </c>
      <c r="F11" s="69"/>
      <c r="G11" s="78">
        <v>0</v>
      </c>
      <c r="H11" s="850">
        <v>1</v>
      </c>
      <c r="I11" s="850">
        <v>1</v>
      </c>
      <c r="J11" s="850">
        <v>1</v>
      </c>
      <c r="K11" s="850">
        <v>1</v>
      </c>
      <c r="L11" s="851">
        <v>1</v>
      </c>
      <c r="M11" s="852"/>
      <c r="N11" s="850"/>
      <c r="O11" s="850"/>
      <c r="P11" s="850"/>
      <c r="Q11" s="850"/>
      <c r="R11" s="851"/>
      <c r="S11" s="852"/>
      <c r="T11" s="850"/>
      <c r="U11" s="850"/>
      <c r="V11" s="850"/>
      <c r="W11" s="850"/>
      <c r="X11" s="851"/>
      <c r="Y11" s="852"/>
      <c r="Z11" s="850"/>
      <c r="AA11" s="850"/>
      <c r="AB11" s="850"/>
      <c r="AC11" s="850"/>
      <c r="AD11" s="851"/>
      <c r="AE11" s="852"/>
      <c r="AF11" s="850"/>
      <c r="AG11" s="850"/>
      <c r="AH11" s="850"/>
      <c r="AI11" s="850"/>
      <c r="AJ11" s="851"/>
      <c r="AK11" s="852"/>
      <c r="AL11" s="850"/>
      <c r="AM11" s="850"/>
      <c r="AN11" s="850"/>
      <c r="AO11" s="850"/>
      <c r="AP11" s="851"/>
      <c r="AQ11" s="4"/>
    </row>
    <row r="12" spans="1:43" ht="15" customHeight="1" x14ac:dyDescent="0.25">
      <c r="A12" s="4"/>
      <c r="B12" s="81"/>
      <c r="C12" s="362"/>
      <c r="D12" s="358"/>
      <c r="E12" s="358"/>
      <c r="F12" s="69"/>
      <c r="G12" s="78"/>
      <c r="H12" s="79"/>
      <c r="I12" s="79"/>
      <c r="J12" s="79"/>
      <c r="K12" s="79"/>
      <c r="L12" s="80"/>
      <c r="M12" s="852"/>
      <c r="N12" s="850"/>
      <c r="O12" s="850"/>
      <c r="P12" s="850"/>
      <c r="Q12" s="850"/>
      <c r="R12" s="851"/>
      <c r="S12" s="852"/>
      <c r="T12" s="850"/>
      <c r="U12" s="850"/>
      <c r="V12" s="850"/>
      <c r="W12" s="850"/>
      <c r="X12" s="851"/>
      <c r="Y12" s="852"/>
      <c r="Z12" s="850"/>
      <c r="AA12" s="850"/>
      <c r="AB12" s="850"/>
      <c r="AC12" s="850"/>
      <c r="AD12" s="851"/>
      <c r="AE12" s="852"/>
      <c r="AF12" s="850"/>
      <c r="AG12" s="850"/>
      <c r="AH12" s="850"/>
      <c r="AI12" s="850"/>
      <c r="AJ12" s="851"/>
      <c r="AK12" s="852"/>
      <c r="AL12" s="850"/>
      <c r="AM12" s="850"/>
      <c r="AN12" s="850"/>
      <c r="AO12" s="850"/>
      <c r="AP12" s="851"/>
      <c r="AQ12" s="4"/>
    </row>
    <row r="13" spans="1:43" ht="15" customHeight="1" x14ac:dyDescent="0.25">
      <c r="A13" s="4"/>
      <c r="B13" s="364" t="s">
        <v>156</v>
      </c>
      <c r="C13" s="363" t="s">
        <v>37</v>
      </c>
      <c r="D13" s="356" t="s">
        <v>561</v>
      </c>
      <c r="E13" s="357" t="s">
        <v>562</v>
      </c>
      <c r="F13" s="69"/>
      <c r="G13" s="78">
        <v>0</v>
      </c>
      <c r="H13" s="79">
        <v>0</v>
      </c>
      <c r="I13" s="79">
        <v>0</v>
      </c>
      <c r="J13" s="79">
        <v>0</v>
      </c>
      <c r="K13" s="79">
        <v>0</v>
      </c>
      <c r="L13" s="80">
        <v>1</v>
      </c>
      <c r="M13" s="852"/>
      <c r="N13" s="850"/>
      <c r="O13" s="850"/>
      <c r="P13" s="850"/>
      <c r="Q13" s="850"/>
      <c r="R13" s="851"/>
      <c r="S13" s="852"/>
      <c r="T13" s="850"/>
      <c r="U13" s="850"/>
      <c r="V13" s="850"/>
      <c r="W13" s="850"/>
      <c r="X13" s="851"/>
      <c r="Y13" s="852"/>
      <c r="Z13" s="850"/>
      <c r="AA13" s="850"/>
      <c r="AB13" s="850"/>
      <c r="AC13" s="850"/>
      <c r="AD13" s="851"/>
      <c r="AE13" s="852"/>
      <c r="AF13" s="850"/>
      <c r="AG13" s="850"/>
      <c r="AH13" s="850"/>
      <c r="AI13" s="850"/>
      <c r="AJ13" s="851"/>
      <c r="AK13" s="852"/>
      <c r="AL13" s="850"/>
      <c r="AM13" s="850"/>
      <c r="AN13" s="850"/>
      <c r="AO13" s="850"/>
      <c r="AP13" s="851"/>
      <c r="AQ13" s="4"/>
    </row>
    <row r="14" spans="1:43" ht="15" customHeight="1" x14ac:dyDescent="0.25">
      <c r="A14" s="4"/>
      <c r="B14" s="82"/>
      <c r="C14" s="83"/>
      <c r="D14" s="359"/>
      <c r="E14" s="359"/>
      <c r="F14" s="69"/>
      <c r="G14" s="84"/>
      <c r="H14" s="85"/>
      <c r="I14" s="85"/>
      <c r="J14" s="85"/>
      <c r="K14" s="85"/>
      <c r="L14" s="86"/>
      <c r="M14" s="84"/>
      <c r="N14" s="85"/>
      <c r="O14" s="85"/>
      <c r="P14" s="85"/>
      <c r="Q14" s="85"/>
      <c r="R14" s="86"/>
      <c r="S14" s="84"/>
      <c r="T14" s="85"/>
      <c r="U14" s="85"/>
      <c r="V14" s="85"/>
      <c r="W14" s="85"/>
      <c r="X14" s="86"/>
      <c r="Y14" s="84"/>
      <c r="Z14" s="85"/>
      <c r="AA14" s="85"/>
      <c r="AB14" s="85"/>
      <c r="AC14" s="85"/>
      <c r="AD14" s="86"/>
      <c r="AE14" s="84"/>
      <c r="AF14" s="85"/>
      <c r="AG14" s="85"/>
      <c r="AH14" s="85"/>
      <c r="AI14" s="85"/>
      <c r="AJ14" s="86"/>
      <c r="AK14" s="84"/>
      <c r="AL14" s="85"/>
      <c r="AM14" s="85"/>
      <c r="AN14" s="85"/>
      <c r="AO14" s="85"/>
      <c r="AP14" s="86"/>
      <c r="AQ14" s="4"/>
    </row>
    <row r="15" spans="1:43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</row>
  </sheetData>
  <mergeCells count="7">
    <mergeCell ref="Y3:AD3"/>
    <mergeCell ref="AE3:AJ3"/>
    <mergeCell ref="AK3:AP3"/>
    <mergeCell ref="E3:E4"/>
    <mergeCell ref="G3:L3"/>
    <mergeCell ref="M3:R3"/>
    <mergeCell ref="S3:X3"/>
  </mergeCells>
  <conditionalFormatting sqref="G14:AP14">
    <cfRule type="cellIs" dxfId="35" priority="6" stopIfTrue="1" operator="equal">
      <formula>1</formula>
    </cfRule>
  </conditionalFormatting>
  <conditionalFormatting sqref="H6:AP7 G8:AP13">
    <cfRule type="cellIs" dxfId="34" priority="4" stopIfTrue="1" operator="equal">
      <formula>1</formula>
    </cfRule>
  </conditionalFormatting>
  <conditionalFormatting sqref="H6:AP7 G8:AP14">
    <cfRule type="cellIs" dxfId="33" priority="3" stopIfTrue="1" operator="equal">
      <formula>0</formula>
    </cfRule>
  </conditionalFormatting>
  <conditionalFormatting sqref="G7">
    <cfRule type="cellIs" dxfId="1" priority="2" stopIfTrue="1" operator="equal">
      <formula>1</formula>
    </cfRule>
  </conditionalFormatting>
  <conditionalFormatting sqref="G7">
    <cfRule type="cellIs" dxfId="0" priority="1" stopIfTrue="1" operator="equal">
      <formula>0</formula>
    </cfRule>
  </conditionalFormatting>
  <pageMargins left="7.874015748031496E-2" right="7.874015748031496E-2" top="0.59055118110236227" bottom="0.59055118110236227" header="0" footer="7.874015748031496E-2"/>
  <pageSetup paperSize="9" scale="71" orientation="landscape" r:id="rId1"/>
  <headerFooter scaleWithDoc="0" alignWithMargins="0">
    <oddFooter>&amp;CPiano di lavoro&amp;RPag 2</oddFooter>
  </headerFooter>
  <ignoredErrors>
    <ignoredError sqref="D15:E17" unlockedFormula="1"/>
    <ignoredError sqref="B9 B11 B13 G5:AR5 G15:AR17 AQ7:AR7 M6:AR6 M10:AR10 M14:AR14 AQ8:AR9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glio6">
    <tabColor rgb="FF92D050"/>
    <pageSetUpPr fitToPage="1"/>
  </sheetPr>
  <dimension ref="A1:AJ109"/>
  <sheetViews>
    <sheetView topLeftCell="G1" zoomScale="90" zoomScaleNormal="90" workbookViewId="0">
      <selection activeCell="G14" sqref="G14:AC14"/>
    </sheetView>
  </sheetViews>
  <sheetFormatPr defaultRowHeight="15" outlineLevelRow="1" x14ac:dyDescent="0.25"/>
  <cols>
    <col min="1" max="1" width="3.5703125" customWidth="1"/>
    <col min="2" max="2" width="17.28515625" customWidth="1"/>
    <col min="3" max="4" width="15.7109375" customWidth="1"/>
    <col min="5" max="5" width="13.28515625" customWidth="1"/>
    <col min="6" max="6" width="13.140625" customWidth="1"/>
    <col min="7" max="36" width="9.7109375" customWidth="1"/>
  </cols>
  <sheetData>
    <row r="1" spans="1:3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23.25" x14ac:dyDescent="0.35">
      <c r="A2" s="1"/>
      <c r="B2" s="175" t="s">
        <v>157</v>
      </c>
      <c r="C2" s="176"/>
      <c r="D2" s="177"/>
      <c r="E2" s="177"/>
      <c r="F2" s="17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</row>
    <row r="3" spans="1:36" x14ac:dyDescent="0.25">
      <c r="A3" s="1"/>
      <c r="B3" s="334" t="s">
        <v>206</v>
      </c>
      <c r="C3" s="89"/>
      <c r="D3" s="90">
        <v>1</v>
      </c>
      <c r="E3" s="90">
        <v>2</v>
      </c>
      <c r="F3" s="90">
        <v>3</v>
      </c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</row>
    <row r="4" spans="1:36" x14ac:dyDescent="0.25">
      <c r="A4" s="1"/>
      <c r="B4" s="775" t="s">
        <v>143</v>
      </c>
      <c r="C4" s="776"/>
      <c r="D4" s="776"/>
      <c r="E4" s="776"/>
      <c r="F4" s="777"/>
      <c r="G4" s="467" t="s">
        <v>329</v>
      </c>
      <c r="H4" s="467" t="s">
        <v>330</v>
      </c>
      <c r="I4" s="467" t="s">
        <v>331</v>
      </c>
      <c r="J4" s="467" t="s">
        <v>332</v>
      </c>
      <c r="K4" s="467" t="s">
        <v>333</v>
      </c>
      <c r="L4" s="467" t="s">
        <v>334</v>
      </c>
      <c r="M4" s="467" t="s">
        <v>335</v>
      </c>
      <c r="N4" s="467" t="s">
        <v>336</v>
      </c>
      <c r="O4" s="467" t="s">
        <v>337</v>
      </c>
      <c r="P4" s="467" t="s">
        <v>338</v>
      </c>
      <c r="Q4" s="467" t="s">
        <v>339</v>
      </c>
      <c r="R4" s="467" t="s">
        <v>340</v>
      </c>
      <c r="S4" s="467" t="s">
        <v>341</v>
      </c>
      <c r="T4" s="467" t="s">
        <v>342</v>
      </c>
      <c r="U4" s="467" t="s">
        <v>343</v>
      </c>
      <c r="V4" s="467" t="s">
        <v>344</v>
      </c>
      <c r="W4" s="467" t="s">
        <v>345</v>
      </c>
      <c r="X4" s="467" t="s">
        <v>346</v>
      </c>
      <c r="Y4" s="467" t="s">
        <v>347</v>
      </c>
      <c r="Z4" s="467" t="s">
        <v>348</v>
      </c>
      <c r="AA4" s="467" t="s">
        <v>349</v>
      </c>
      <c r="AB4" s="467" t="s">
        <v>350</v>
      </c>
      <c r="AC4" s="467" t="s">
        <v>351</v>
      </c>
      <c r="AD4" s="91" t="e">
        <f t="shared" ref="I4:AJ4" si="0">AC4+1</f>
        <v>#VALUE!</v>
      </c>
      <c r="AE4" s="91" t="e">
        <f t="shared" si="0"/>
        <v>#VALUE!</v>
      </c>
      <c r="AF4" s="91" t="e">
        <f t="shared" si="0"/>
        <v>#VALUE!</v>
      </c>
      <c r="AG4" s="91" t="e">
        <f t="shared" si="0"/>
        <v>#VALUE!</v>
      </c>
      <c r="AH4" s="91" t="e">
        <f t="shared" si="0"/>
        <v>#VALUE!</v>
      </c>
      <c r="AI4" s="91" t="e">
        <f t="shared" si="0"/>
        <v>#VALUE!</v>
      </c>
      <c r="AJ4" s="91" t="e">
        <f t="shared" si="0"/>
        <v>#VALUE!</v>
      </c>
    </row>
    <row r="5" spans="1:36" x14ac:dyDescent="0.25">
      <c r="A5" s="1"/>
      <c r="B5" s="778"/>
      <c r="C5" s="779"/>
      <c r="D5" s="779"/>
      <c r="E5" s="779"/>
      <c r="F5" s="780"/>
      <c r="G5" s="91">
        <v>1</v>
      </c>
      <c r="H5" s="91">
        <f>G5+1</f>
        <v>2</v>
      </c>
      <c r="I5" s="91">
        <f t="shared" ref="I5:AJ5" si="1">H5+1</f>
        <v>3</v>
      </c>
      <c r="J5" s="91">
        <f t="shared" si="1"/>
        <v>4</v>
      </c>
      <c r="K5" s="91">
        <f t="shared" si="1"/>
        <v>5</v>
      </c>
      <c r="L5" s="91">
        <f t="shared" si="1"/>
        <v>6</v>
      </c>
      <c r="M5" s="91">
        <f t="shared" si="1"/>
        <v>7</v>
      </c>
      <c r="N5" s="91">
        <f t="shared" si="1"/>
        <v>8</v>
      </c>
      <c r="O5" s="91">
        <f t="shared" si="1"/>
        <v>9</v>
      </c>
      <c r="P5" s="91">
        <f t="shared" si="1"/>
        <v>10</v>
      </c>
      <c r="Q5" s="91">
        <f t="shared" si="1"/>
        <v>11</v>
      </c>
      <c r="R5" s="91">
        <f t="shared" si="1"/>
        <v>12</v>
      </c>
      <c r="S5" s="91">
        <f t="shared" si="1"/>
        <v>13</v>
      </c>
      <c r="T5" s="91">
        <f t="shared" si="1"/>
        <v>14</v>
      </c>
      <c r="U5" s="91">
        <f t="shared" si="1"/>
        <v>15</v>
      </c>
      <c r="V5" s="91">
        <f t="shared" si="1"/>
        <v>16</v>
      </c>
      <c r="W5" s="91">
        <f t="shared" si="1"/>
        <v>17</v>
      </c>
      <c r="X5" s="91">
        <f t="shared" si="1"/>
        <v>18</v>
      </c>
      <c r="Y5" s="91">
        <f t="shared" si="1"/>
        <v>19</v>
      </c>
      <c r="Z5" s="91">
        <f t="shared" si="1"/>
        <v>20</v>
      </c>
      <c r="AA5" s="91">
        <f t="shared" si="1"/>
        <v>21</v>
      </c>
      <c r="AB5" s="91">
        <f t="shared" si="1"/>
        <v>22</v>
      </c>
      <c r="AC5" s="91">
        <f t="shared" si="1"/>
        <v>23</v>
      </c>
      <c r="AD5" s="91">
        <f t="shared" si="1"/>
        <v>24</v>
      </c>
      <c r="AE5" s="91">
        <f t="shared" si="1"/>
        <v>25</v>
      </c>
      <c r="AF5" s="91">
        <f t="shared" si="1"/>
        <v>26</v>
      </c>
      <c r="AG5" s="91">
        <f t="shared" si="1"/>
        <v>27</v>
      </c>
      <c r="AH5" s="91">
        <f t="shared" si="1"/>
        <v>28</v>
      </c>
      <c r="AI5" s="91">
        <f t="shared" si="1"/>
        <v>29</v>
      </c>
      <c r="AJ5" s="92">
        <f t="shared" si="1"/>
        <v>30</v>
      </c>
    </row>
    <row r="6" spans="1:36" x14ac:dyDescent="0.25">
      <c r="A6" s="1"/>
      <c r="B6" s="792" t="s">
        <v>158</v>
      </c>
      <c r="C6" s="793"/>
      <c r="D6" s="793"/>
      <c r="E6" s="793"/>
      <c r="F6" s="794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</row>
    <row r="7" spans="1:36" x14ac:dyDescent="0.25">
      <c r="A7" s="1"/>
      <c r="B7" s="795" t="s">
        <v>159</v>
      </c>
      <c r="C7" s="796"/>
      <c r="D7" s="796"/>
      <c r="E7" s="796"/>
      <c r="F7" s="797"/>
      <c r="G7" s="94">
        <f>IF(G5&lt;=IN!$C$47,(G9+G8),0)</f>
        <v>5407753.2212252971</v>
      </c>
      <c r="H7" s="94">
        <f>IF(H5&lt;=IN!$C$47,(H9+H8),0)</f>
        <v>0</v>
      </c>
      <c r="I7" s="94">
        <f>IF(I5&lt;=IN!$C$47,(I9+I8),0)</f>
        <v>0</v>
      </c>
      <c r="J7" s="94">
        <f>IF(J5&lt;=IN!$C$47,(J9+J8),0)</f>
        <v>0</v>
      </c>
      <c r="K7" s="94">
        <f>IF(K5&lt;=IN!$C$47,(K9+K8),0)</f>
        <v>0</v>
      </c>
      <c r="L7" s="94">
        <f>IF(L5&lt;=IN!$C$47,(L9+L8),0)</f>
        <v>0</v>
      </c>
      <c r="M7" s="94">
        <f>IF(M5&lt;=IN!$C$47,(M9+M8),0)</f>
        <v>0</v>
      </c>
      <c r="N7" s="94">
        <f>IF(N5&lt;=IN!$C$47,(N9+N8),0)</f>
        <v>0</v>
      </c>
      <c r="O7" s="94">
        <f>IF(O5&lt;=IN!$C$47,(O9+O8),0)</f>
        <v>0</v>
      </c>
      <c r="P7" s="94">
        <f>IF(P5&lt;=IN!$C$47,(P9+P8),0)</f>
        <v>0</v>
      </c>
      <c r="Q7" s="94">
        <f>IF(Q5&lt;=IN!$C$47,(Q9+Q8),0)</f>
        <v>0</v>
      </c>
      <c r="R7" s="94">
        <f>IF(R5&lt;=IN!$C$47,(R9+R8),0)</f>
        <v>0</v>
      </c>
      <c r="S7" s="94">
        <f>IF(S5&lt;=IN!$C$47,(S9+S8),0)</f>
        <v>0</v>
      </c>
      <c r="T7" s="94">
        <f>IF(T5&lt;=IN!$C$47,(T9+T8),0)</f>
        <v>0</v>
      </c>
      <c r="U7" s="94">
        <f>IF(U5&lt;=IN!$C$47,(U9+U8),0)</f>
        <v>0</v>
      </c>
      <c r="V7" s="94">
        <f>IF(V5&lt;=IN!$C$47,(V9+V8),0)</f>
        <v>0</v>
      </c>
      <c r="W7" s="94">
        <f>IF(W5&lt;=IN!$C$47,(W9+W8),0)</f>
        <v>0</v>
      </c>
      <c r="X7" s="94">
        <f>IF(X5&lt;=IN!$C$47,(X9+X8),0)</f>
        <v>0</v>
      </c>
      <c r="Y7" s="94">
        <f>IF(Y5&lt;=IN!$C$47,(Y9+Y8),0)</f>
        <v>0</v>
      </c>
      <c r="Z7" s="94">
        <f>IF(Z5&lt;=IN!$C$47,(Z9+Z8),0)</f>
        <v>0</v>
      </c>
      <c r="AA7" s="94">
        <f>IF(AA5&lt;=IN!$C$47,(AA9+AA8),0)</f>
        <v>0</v>
      </c>
      <c r="AB7" s="94">
        <f>IF(AB5&lt;=IN!$C$47,(AB9+AB8),0)</f>
        <v>0</v>
      </c>
      <c r="AC7" s="94">
        <f>IF(AC5&lt;=IN!$C$47,(AC9+AC8),0)</f>
        <v>0</v>
      </c>
      <c r="AD7" s="94">
        <f>IF(AD5&lt;=IN!$C$47,(AD9+AD8),0)</f>
        <v>0</v>
      </c>
      <c r="AE7" s="94">
        <f>IF(AE5&lt;=IN!$C$47,(AE9+AE8),0)</f>
        <v>0</v>
      </c>
      <c r="AF7" s="94">
        <f>IF(AF5&lt;=IN!$C$47,(AF9+AF8),0)</f>
        <v>0</v>
      </c>
      <c r="AG7" s="94">
        <f>IF(AG5&lt;=IN!$C$47,(AG9+AG8),0)</f>
        <v>0</v>
      </c>
      <c r="AH7" s="94">
        <f>IF(AH5&lt;=IN!$C$47,(AH9+AH8),0)</f>
        <v>0</v>
      </c>
      <c r="AI7" s="94">
        <f>IF(AI5&lt;=IN!$C$47,(AI9+AI8),0)</f>
        <v>0</v>
      </c>
      <c r="AJ7" s="94">
        <f>IF(AJ5&lt;=IN!$C$47,(AJ9+AJ8),0)</f>
        <v>0</v>
      </c>
    </row>
    <row r="8" spans="1:36" x14ac:dyDescent="0.25">
      <c r="A8" s="1"/>
      <c r="B8" s="792" t="s">
        <v>160</v>
      </c>
      <c r="C8" s="793"/>
      <c r="D8" s="793"/>
      <c r="E8" s="793"/>
      <c r="F8" s="794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</row>
    <row r="9" spans="1:36" x14ac:dyDescent="0.25">
      <c r="A9" s="1"/>
      <c r="B9" s="798" t="s">
        <v>161</v>
      </c>
      <c r="C9" s="799"/>
      <c r="D9" s="799"/>
      <c r="E9" s="799"/>
      <c r="F9" s="800"/>
      <c r="G9" s="96">
        <f>IF(G5&lt;=IN!$C$47,(G17+G21+G25+G29),0)</f>
        <v>5407753.2212252971</v>
      </c>
      <c r="H9" s="96">
        <f>IF(H5&lt;=IN!$C$47,(H17+H21+H25+H29),0)</f>
        <v>0</v>
      </c>
      <c r="I9" s="96">
        <f>IF(I5&lt;=IN!$C$47,(I17+I21+I25+I29),0)</f>
        <v>0</v>
      </c>
      <c r="J9" s="96">
        <f>IF(J5&lt;=IN!$C$47,(J17+J21+J25+J29),0)</f>
        <v>0</v>
      </c>
      <c r="K9" s="96">
        <f>IF(K5&lt;=IN!$C$47,(K17+K21+K25+K29),0)</f>
        <v>0</v>
      </c>
      <c r="L9" s="96">
        <f>IF(L5&lt;=IN!$C$47,(L17+L21+L25+L29),0)</f>
        <v>0</v>
      </c>
      <c r="M9" s="96">
        <f>IF(M5&lt;=IN!$C$47,(M17+M21+M25+M29),0)</f>
        <v>0</v>
      </c>
      <c r="N9" s="96">
        <f>IF(N5&lt;=IN!$C$47,(N17+N21+N25+N29),0)</f>
        <v>0</v>
      </c>
      <c r="O9" s="96">
        <f>IF(O5&lt;=IN!$C$47,(O17+O21+O25+O29),0)</f>
        <v>0</v>
      </c>
      <c r="P9" s="96">
        <f>IF(P5&lt;=IN!$C$47,(P17+P21+P25+P29),0)</f>
        <v>0</v>
      </c>
      <c r="Q9" s="96">
        <f>IF(Q5&lt;=IN!$C$47,(Q17+Q21+Q25+Q29),0)</f>
        <v>0</v>
      </c>
      <c r="R9" s="96">
        <f>IF(R5&lt;=IN!$C$47,(R17+R21+R25+R29),0)</f>
        <v>0</v>
      </c>
      <c r="S9" s="96">
        <f>IF(S5&lt;=IN!$C$47,(S17+S21+S25+S29),0)</f>
        <v>0</v>
      </c>
      <c r="T9" s="96">
        <f>IF(T5&lt;=IN!$C$47,(T17+T21+T25+T29),0)</f>
        <v>0</v>
      </c>
      <c r="U9" s="96">
        <f>IF(U5&lt;=IN!$C$47,(U17+U21+U25+U29),0)</f>
        <v>0</v>
      </c>
      <c r="V9" s="96">
        <f>IF(V5&lt;=IN!$C$47,(V17+V21+V25+V29),0)</f>
        <v>0</v>
      </c>
      <c r="W9" s="96">
        <f>IF(W5&lt;=IN!$C$47,(W17+W21+W25+W29),0)</f>
        <v>0</v>
      </c>
      <c r="X9" s="96">
        <f>IF(X5&lt;=IN!$C$47,(X17+X21+X25+X29),0)</f>
        <v>0</v>
      </c>
      <c r="Y9" s="96">
        <f>IF(Y5&lt;=IN!$C$47,(Y17+Y21+Y25+Y29),0)</f>
        <v>0</v>
      </c>
      <c r="Z9" s="96">
        <f>IF(Z5&lt;=IN!$C$47,(Z17+Z21+Z25+Z29),0)</f>
        <v>0</v>
      </c>
      <c r="AA9" s="96">
        <f>IF(AA5&lt;=IN!$C$47,(AA17+AA21+AA25+AA29),0)</f>
        <v>0</v>
      </c>
      <c r="AB9" s="96">
        <f>IF(AB5&lt;=IN!$C$47,(AB17+AB21+AB25+AB29),0)</f>
        <v>0</v>
      </c>
      <c r="AC9" s="96">
        <f>IF(AC5&lt;=IN!$C$47,(AC17+AC21+AC25+AC29),0)</f>
        <v>0</v>
      </c>
      <c r="AD9" s="96">
        <f>IF(AD5&lt;=IN!$C$47,(AD17+AD21+AD25+AD29),0)</f>
        <v>0</v>
      </c>
      <c r="AE9" s="96">
        <f>IF(AE5&lt;=IN!$C$47,(AE17+AE21+AE25+AE29),0)</f>
        <v>0</v>
      </c>
      <c r="AF9" s="96">
        <f>IF(AF5&lt;=IN!$C$47,(AF17+AF21+AF25+AF29),0)</f>
        <v>0</v>
      </c>
      <c r="AG9" s="96">
        <f>IF(AG5&lt;=IN!$C$47,(AG17+AG21+AG25+AG29),0)</f>
        <v>0</v>
      </c>
      <c r="AH9" s="96">
        <f>IF(AH5&lt;=IN!$C$47,(AH17+AH21+AH25+AH29),0)</f>
        <v>0</v>
      </c>
      <c r="AI9" s="96">
        <f>IF(AI5&lt;=IN!$C$47,(AI17+AI21+AI25+AI29),0)</f>
        <v>0</v>
      </c>
      <c r="AJ9" s="96">
        <f>IF(AJ5&lt;=IN!$C$47,(AJ17+AJ21+AJ25+AJ29),0)</f>
        <v>0</v>
      </c>
    </row>
    <row r="10" spans="1:36" x14ac:dyDescent="0.25">
      <c r="A10" s="1"/>
      <c r="B10" s="785"/>
      <c r="C10" s="786"/>
      <c r="D10" s="786"/>
      <c r="E10" s="786"/>
      <c r="F10" s="78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</row>
    <row r="11" spans="1:36" x14ac:dyDescent="0.25">
      <c r="A11" s="1"/>
      <c r="B11" s="785" t="s">
        <v>162</v>
      </c>
      <c r="C11" s="786"/>
      <c r="D11" s="786"/>
      <c r="E11" s="786"/>
      <c r="F11" s="787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</row>
    <row r="12" spans="1:3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x14ac:dyDescent="0.25">
      <c r="A13" s="88"/>
      <c r="B13" s="788" t="s">
        <v>163</v>
      </c>
      <c r="C13" s="788"/>
      <c r="D13" s="788"/>
      <c r="E13" s="788"/>
      <c r="F13" s="788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</row>
    <row r="14" spans="1:36" x14ac:dyDescent="0.25">
      <c r="A14" s="88"/>
      <c r="B14" s="781" t="s">
        <v>164</v>
      </c>
      <c r="C14" s="783" t="s">
        <v>146</v>
      </c>
      <c r="D14" s="783" t="s">
        <v>147</v>
      </c>
      <c r="E14" s="781" t="s">
        <v>165</v>
      </c>
      <c r="F14" s="781" t="s">
        <v>166</v>
      </c>
      <c r="G14" s="467" t="s">
        <v>329</v>
      </c>
      <c r="H14" s="467" t="s">
        <v>330</v>
      </c>
      <c r="I14" s="467" t="s">
        <v>331</v>
      </c>
      <c r="J14" s="467" t="s">
        <v>332</v>
      </c>
      <c r="K14" s="467" t="s">
        <v>333</v>
      </c>
      <c r="L14" s="467" t="s">
        <v>334</v>
      </c>
      <c r="M14" s="467" t="s">
        <v>335</v>
      </c>
      <c r="N14" s="467" t="s">
        <v>336</v>
      </c>
      <c r="O14" s="467" t="s">
        <v>337</v>
      </c>
      <c r="P14" s="467" t="s">
        <v>338</v>
      </c>
      <c r="Q14" s="467" t="s">
        <v>339</v>
      </c>
      <c r="R14" s="467" t="s">
        <v>340</v>
      </c>
      <c r="S14" s="467" t="s">
        <v>341</v>
      </c>
      <c r="T14" s="467" t="s">
        <v>342</v>
      </c>
      <c r="U14" s="467" t="s">
        <v>343</v>
      </c>
      <c r="V14" s="467" t="s">
        <v>344</v>
      </c>
      <c r="W14" s="467" t="s">
        <v>345</v>
      </c>
      <c r="X14" s="467" t="s">
        <v>346</v>
      </c>
      <c r="Y14" s="467" t="s">
        <v>347</v>
      </c>
      <c r="Z14" s="467" t="s">
        <v>348</v>
      </c>
      <c r="AA14" s="467" t="s">
        <v>349</v>
      </c>
      <c r="AB14" s="467" t="s">
        <v>350</v>
      </c>
      <c r="AC14" s="467" t="s">
        <v>351</v>
      </c>
      <c r="AD14" s="91" t="e">
        <f t="shared" ref="I14:AJ14" si="2">AC14+1</f>
        <v>#VALUE!</v>
      </c>
      <c r="AE14" s="91" t="e">
        <f t="shared" si="2"/>
        <v>#VALUE!</v>
      </c>
      <c r="AF14" s="91" t="e">
        <f t="shared" si="2"/>
        <v>#VALUE!</v>
      </c>
      <c r="AG14" s="91" t="e">
        <f t="shared" si="2"/>
        <v>#VALUE!</v>
      </c>
      <c r="AH14" s="91" t="e">
        <f t="shared" si="2"/>
        <v>#VALUE!</v>
      </c>
      <c r="AI14" s="91" t="e">
        <f t="shared" si="2"/>
        <v>#VALUE!</v>
      </c>
      <c r="AJ14" s="91" t="e">
        <f t="shared" si="2"/>
        <v>#VALUE!</v>
      </c>
    </row>
    <row r="15" spans="1:36" x14ac:dyDescent="0.25">
      <c r="A15" s="88"/>
      <c r="B15" s="782"/>
      <c r="C15" s="784"/>
      <c r="D15" s="784"/>
      <c r="E15" s="782"/>
      <c r="F15" s="782"/>
      <c r="G15" s="319">
        <v>1</v>
      </c>
      <c r="H15" s="91">
        <f>G15+1</f>
        <v>2</v>
      </c>
      <c r="I15" s="91">
        <f t="shared" ref="I15:AJ15" si="3">H15+1</f>
        <v>3</v>
      </c>
      <c r="J15" s="91">
        <f t="shared" si="3"/>
        <v>4</v>
      </c>
      <c r="K15" s="91">
        <f t="shared" si="3"/>
        <v>5</v>
      </c>
      <c r="L15" s="91">
        <f t="shared" si="3"/>
        <v>6</v>
      </c>
      <c r="M15" s="91">
        <f t="shared" si="3"/>
        <v>7</v>
      </c>
      <c r="N15" s="91">
        <f t="shared" si="3"/>
        <v>8</v>
      </c>
      <c r="O15" s="91">
        <f t="shared" si="3"/>
        <v>9</v>
      </c>
      <c r="P15" s="91">
        <f t="shared" si="3"/>
        <v>10</v>
      </c>
      <c r="Q15" s="91">
        <f t="shared" si="3"/>
        <v>11</v>
      </c>
      <c r="R15" s="91">
        <f t="shared" si="3"/>
        <v>12</v>
      </c>
      <c r="S15" s="91">
        <f t="shared" si="3"/>
        <v>13</v>
      </c>
      <c r="T15" s="91">
        <f t="shared" si="3"/>
        <v>14</v>
      </c>
      <c r="U15" s="91">
        <f t="shared" si="3"/>
        <v>15</v>
      </c>
      <c r="V15" s="91">
        <f t="shared" si="3"/>
        <v>16</v>
      </c>
      <c r="W15" s="91">
        <f t="shared" si="3"/>
        <v>17</v>
      </c>
      <c r="X15" s="91">
        <f t="shared" si="3"/>
        <v>18</v>
      </c>
      <c r="Y15" s="91">
        <f t="shared" si="3"/>
        <v>19</v>
      </c>
      <c r="Z15" s="91">
        <f t="shared" si="3"/>
        <v>20</v>
      </c>
      <c r="AA15" s="91">
        <f t="shared" si="3"/>
        <v>21</v>
      </c>
      <c r="AB15" s="91">
        <f t="shared" si="3"/>
        <v>22</v>
      </c>
      <c r="AC15" s="91">
        <f t="shared" si="3"/>
        <v>23</v>
      </c>
      <c r="AD15" s="91">
        <f t="shared" si="3"/>
        <v>24</v>
      </c>
      <c r="AE15" s="91">
        <f t="shared" si="3"/>
        <v>25</v>
      </c>
      <c r="AF15" s="91">
        <f t="shared" si="3"/>
        <v>26</v>
      </c>
      <c r="AG15" s="91">
        <f t="shared" si="3"/>
        <v>27</v>
      </c>
      <c r="AH15" s="91">
        <f t="shared" si="3"/>
        <v>28</v>
      </c>
      <c r="AI15" s="91">
        <f t="shared" si="3"/>
        <v>29</v>
      </c>
      <c r="AJ15" s="92">
        <f t="shared" si="3"/>
        <v>30</v>
      </c>
    </row>
    <row r="16" spans="1:36" x14ac:dyDescent="0.25">
      <c r="A16" s="88"/>
      <c r="B16" s="100"/>
      <c r="C16" s="101"/>
      <c r="D16" s="101"/>
      <c r="E16" s="100"/>
      <c r="F16" s="102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  <c r="AI16" s="103"/>
      <c r="AJ16" s="103"/>
    </row>
    <row r="17" spans="1:36" x14ac:dyDescent="0.25">
      <c r="A17" s="88"/>
      <c r="B17" s="104" t="s">
        <v>35</v>
      </c>
      <c r="C17" s="378" t="s">
        <v>563</v>
      </c>
      <c r="D17" s="378" t="s">
        <v>557</v>
      </c>
      <c r="E17" s="104"/>
      <c r="F17" s="105">
        <f t="shared" ref="F17:O17" si="4">+SUM(F18:F20)</f>
        <v>1369346.97</v>
      </c>
      <c r="G17" s="105">
        <f>+SUM(G18:G20)</f>
        <v>1369346.97</v>
      </c>
      <c r="H17" s="105">
        <f t="shared" si="4"/>
        <v>0</v>
      </c>
      <c r="I17" s="105">
        <f t="shared" si="4"/>
        <v>0</v>
      </c>
      <c r="J17" s="105">
        <f t="shared" si="4"/>
        <v>0</v>
      </c>
      <c r="K17" s="105">
        <f t="shared" si="4"/>
        <v>0</v>
      </c>
      <c r="L17" s="105">
        <f t="shared" si="4"/>
        <v>0</v>
      </c>
      <c r="M17" s="105">
        <f t="shared" si="4"/>
        <v>0</v>
      </c>
      <c r="N17" s="105">
        <f t="shared" si="4"/>
        <v>0</v>
      </c>
      <c r="O17" s="105">
        <f t="shared" si="4"/>
        <v>0</v>
      </c>
      <c r="P17" s="105">
        <f>+SUM(P18:P20)</f>
        <v>0</v>
      </c>
      <c r="Q17" s="105">
        <f t="shared" ref="Q17:AJ17" si="5">+SUM(Q18:Q20)</f>
        <v>0</v>
      </c>
      <c r="R17" s="105">
        <f t="shared" si="5"/>
        <v>0</v>
      </c>
      <c r="S17" s="105">
        <f t="shared" si="5"/>
        <v>0</v>
      </c>
      <c r="T17" s="105">
        <f t="shared" si="5"/>
        <v>0</v>
      </c>
      <c r="U17" s="105">
        <f t="shared" si="5"/>
        <v>0</v>
      </c>
      <c r="V17" s="105">
        <f t="shared" si="5"/>
        <v>0</v>
      </c>
      <c r="W17" s="105">
        <f t="shared" si="5"/>
        <v>0</v>
      </c>
      <c r="X17" s="105">
        <f t="shared" si="5"/>
        <v>0</v>
      </c>
      <c r="Y17" s="105">
        <f t="shared" si="5"/>
        <v>0</v>
      </c>
      <c r="Z17" s="105">
        <f t="shared" si="5"/>
        <v>0</v>
      </c>
      <c r="AA17" s="105">
        <f t="shared" si="5"/>
        <v>0</v>
      </c>
      <c r="AB17" s="105">
        <f t="shared" si="5"/>
        <v>0</v>
      </c>
      <c r="AC17" s="105">
        <f>+SUM(AC18:AC20)</f>
        <v>0</v>
      </c>
      <c r="AD17" s="105">
        <f t="shared" si="5"/>
        <v>0</v>
      </c>
      <c r="AE17" s="105">
        <f t="shared" si="5"/>
        <v>0</v>
      </c>
      <c r="AF17" s="105">
        <f t="shared" si="5"/>
        <v>0</v>
      </c>
      <c r="AG17" s="105">
        <f t="shared" si="5"/>
        <v>0</v>
      </c>
      <c r="AH17" s="105">
        <f t="shared" si="5"/>
        <v>0</v>
      </c>
      <c r="AI17" s="105">
        <f t="shared" si="5"/>
        <v>0</v>
      </c>
      <c r="AJ17" s="105">
        <f t="shared" si="5"/>
        <v>0</v>
      </c>
    </row>
    <row r="18" spans="1:36" x14ac:dyDescent="0.25">
      <c r="A18" s="88"/>
      <c r="B18" s="379"/>
      <c r="C18" s="106"/>
      <c r="D18" s="106"/>
      <c r="E18" s="379" t="s">
        <v>167</v>
      </c>
      <c r="F18" s="107">
        <f>+SUM(G18:AN18)</f>
        <v>0</v>
      </c>
      <c r="G18" s="95"/>
      <c r="H18" s="108">
        <v>0</v>
      </c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</row>
    <row r="19" spans="1:36" x14ac:dyDescent="0.25">
      <c r="A19" s="88"/>
      <c r="B19" s="379"/>
      <c r="C19" s="106"/>
      <c r="D19" s="106"/>
      <c r="E19" s="379" t="s">
        <v>168</v>
      </c>
      <c r="F19" s="107">
        <f>+SUM(G19:AN19)</f>
        <v>1369346.97</v>
      </c>
      <c r="G19" s="95">
        <f>IN!I57</f>
        <v>1369346.97</v>
      </c>
      <c r="H19" s="95">
        <f>IN!I58</f>
        <v>0</v>
      </c>
      <c r="I19" s="95">
        <f>IN!I59</f>
        <v>0</v>
      </c>
      <c r="J19" s="95">
        <f>IN!I60</f>
        <v>0</v>
      </c>
      <c r="K19" s="95">
        <f>IN!I61</f>
        <v>0</v>
      </c>
      <c r="L19" s="95">
        <f>IN!I62</f>
        <v>0</v>
      </c>
      <c r="M19" s="95">
        <f>IN!I63</f>
        <v>0</v>
      </c>
      <c r="N19" s="95">
        <f>IN!I64</f>
        <v>0</v>
      </c>
      <c r="O19" s="95">
        <f>IN!I65</f>
        <v>0</v>
      </c>
      <c r="P19" s="95">
        <f>IN!I66</f>
        <v>0</v>
      </c>
      <c r="Q19" s="95">
        <f>IN!I67</f>
        <v>0</v>
      </c>
      <c r="R19" s="95">
        <f>IN!I68</f>
        <v>0</v>
      </c>
      <c r="S19" s="95">
        <f>IN!I69</f>
        <v>0</v>
      </c>
      <c r="T19" s="95">
        <f>IN!I70</f>
        <v>0</v>
      </c>
      <c r="U19" s="95">
        <f>IN!I71</f>
        <v>0</v>
      </c>
      <c r="V19" s="95">
        <f>IN!I72</f>
        <v>0</v>
      </c>
      <c r="W19" s="95">
        <f>IN!I73</f>
        <v>0</v>
      </c>
      <c r="X19" s="95">
        <f>IN!I74</f>
        <v>0</v>
      </c>
      <c r="Y19" s="95">
        <f>IN!I75</f>
        <v>0</v>
      </c>
      <c r="Z19" s="95">
        <f>IN!I76</f>
        <v>0</v>
      </c>
      <c r="AA19" s="95">
        <f>IN!I77</f>
        <v>0</v>
      </c>
      <c r="AB19" s="95">
        <f>IN!I78</f>
        <v>0</v>
      </c>
      <c r="AC19" s="95">
        <f>IN!I79</f>
        <v>0</v>
      </c>
      <c r="AD19" s="95">
        <f>IN!I80</f>
        <v>0</v>
      </c>
      <c r="AE19" s="95">
        <f>IN!I81</f>
        <v>0</v>
      </c>
      <c r="AF19" s="95">
        <f>IN!I82</f>
        <v>0</v>
      </c>
      <c r="AG19" s="95">
        <f>IN!I83</f>
        <v>0</v>
      </c>
      <c r="AH19" s="95">
        <f>IN!I84</f>
        <v>0</v>
      </c>
      <c r="AI19" s="95">
        <f>IN!I85</f>
        <v>0</v>
      </c>
      <c r="AJ19" s="95">
        <f>IN!I86</f>
        <v>0</v>
      </c>
    </row>
    <row r="20" spans="1:36" x14ac:dyDescent="0.25">
      <c r="A20" s="88"/>
      <c r="B20" s="379"/>
      <c r="C20" s="106"/>
      <c r="D20" s="106"/>
      <c r="E20" s="379" t="s">
        <v>169</v>
      </c>
      <c r="F20" s="107">
        <f>+SUM(G20:AN20)</f>
        <v>0</v>
      </c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</row>
    <row r="21" spans="1:36" x14ac:dyDescent="0.25">
      <c r="A21" s="88"/>
      <c r="B21" s="104" t="s">
        <v>170</v>
      </c>
      <c r="C21" s="378" t="s">
        <v>558</v>
      </c>
      <c r="D21" s="378" t="s">
        <v>558</v>
      </c>
      <c r="E21" s="104"/>
      <c r="F21" s="105">
        <f t="shared" ref="F21:O21" si="6">+SUM(F22:F24)</f>
        <v>0</v>
      </c>
      <c r="G21" s="105">
        <f>+SUM(G22:G24)</f>
        <v>0</v>
      </c>
      <c r="H21" s="105">
        <f t="shared" si="6"/>
        <v>0</v>
      </c>
      <c r="I21" s="105">
        <f t="shared" si="6"/>
        <v>0</v>
      </c>
      <c r="J21" s="105">
        <f t="shared" si="6"/>
        <v>0</v>
      </c>
      <c r="K21" s="105">
        <f t="shared" si="6"/>
        <v>0</v>
      </c>
      <c r="L21" s="105">
        <f t="shared" si="6"/>
        <v>0</v>
      </c>
      <c r="M21" s="105">
        <f t="shared" si="6"/>
        <v>0</v>
      </c>
      <c r="N21" s="105">
        <f t="shared" si="6"/>
        <v>0</v>
      </c>
      <c r="O21" s="105">
        <f t="shared" si="6"/>
        <v>0</v>
      </c>
      <c r="P21" s="105">
        <f>+SUM(P22:P24)</f>
        <v>0</v>
      </c>
      <c r="Q21" s="105">
        <f t="shared" ref="Q21:AJ21" si="7">+SUM(Q22:Q24)</f>
        <v>0</v>
      </c>
      <c r="R21" s="105">
        <f t="shared" si="7"/>
        <v>0</v>
      </c>
      <c r="S21" s="105">
        <f t="shared" si="7"/>
        <v>0</v>
      </c>
      <c r="T21" s="105">
        <f t="shared" si="7"/>
        <v>0</v>
      </c>
      <c r="U21" s="105">
        <f t="shared" si="7"/>
        <v>0</v>
      </c>
      <c r="V21" s="105">
        <f t="shared" si="7"/>
        <v>0</v>
      </c>
      <c r="W21" s="105">
        <f t="shared" si="7"/>
        <v>0</v>
      </c>
      <c r="X21" s="105">
        <f t="shared" si="7"/>
        <v>0</v>
      </c>
      <c r="Y21" s="105">
        <f t="shared" si="7"/>
        <v>0</v>
      </c>
      <c r="Z21" s="105">
        <f t="shared" si="7"/>
        <v>0</v>
      </c>
      <c r="AA21" s="105">
        <f t="shared" si="7"/>
        <v>0</v>
      </c>
      <c r="AB21" s="105">
        <f t="shared" si="7"/>
        <v>0</v>
      </c>
      <c r="AC21" s="105">
        <f>+SUM(AC22:AC24)</f>
        <v>0</v>
      </c>
      <c r="AD21" s="105">
        <f t="shared" si="7"/>
        <v>0</v>
      </c>
      <c r="AE21" s="105">
        <f t="shared" si="7"/>
        <v>0</v>
      </c>
      <c r="AF21" s="105">
        <f t="shared" si="7"/>
        <v>0</v>
      </c>
      <c r="AG21" s="105">
        <f t="shared" si="7"/>
        <v>0</v>
      </c>
      <c r="AH21" s="105">
        <f t="shared" si="7"/>
        <v>0</v>
      </c>
      <c r="AI21" s="105">
        <f t="shared" si="7"/>
        <v>0</v>
      </c>
      <c r="AJ21" s="105">
        <f t="shared" si="7"/>
        <v>0</v>
      </c>
    </row>
    <row r="22" spans="1:36" x14ac:dyDescent="0.25">
      <c r="A22" s="88"/>
      <c r="B22" s="379"/>
      <c r="C22" s="106"/>
      <c r="D22" s="106"/>
      <c r="E22" s="379" t="s">
        <v>167</v>
      </c>
      <c r="F22" s="107">
        <f>+SUM(G22:AN22)</f>
        <v>0</v>
      </c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</row>
    <row r="23" spans="1:36" x14ac:dyDescent="0.25">
      <c r="A23" s="88"/>
      <c r="B23" s="379"/>
      <c r="C23" s="106"/>
      <c r="D23" s="106"/>
      <c r="E23" s="379" t="s">
        <v>168</v>
      </c>
      <c r="F23" s="107">
        <f>+SUM(G23:AN23)</f>
        <v>0</v>
      </c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</row>
    <row r="24" spans="1:36" x14ac:dyDescent="0.25">
      <c r="A24" s="88"/>
      <c r="B24" s="379"/>
      <c r="C24" s="106"/>
      <c r="D24" s="106"/>
      <c r="E24" s="379" t="s">
        <v>169</v>
      </c>
      <c r="F24" s="107">
        <f>+SUM(G24:AN24)</f>
        <v>0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</row>
    <row r="25" spans="1:36" x14ac:dyDescent="0.25">
      <c r="A25" s="88"/>
      <c r="B25" s="104" t="s">
        <v>36</v>
      </c>
      <c r="C25" s="378" t="s">
        <v>559</v>
      </c>
      <c r="D25" s="378" t="s">
        <v>560</v>
      </c>
      <c r="E25" s="104"/>
      <c r="F25" s="105">
        <f t="shared" ref="F25:O25" si="8">+SUM(F26:F28)</f>
        <v>4038406.2512252969</v>
      </c>
      <c r="G25" s="105">
        <f t="shared" si="8"/>
        <v>4038406.2512252969</v>
      </c>
      <c r="H25" s="105">
        <f t="shared" si="8"/>
        <v>0</v>
      </c>
      <c r="I25" s="105">
        <f t="shared" si="8"/>
        <v>0</v>
      </c>
      <c r="J25" s="105">
        <f t="shared" si="8"/>
        <v>0</v>
      </c>
      <c r="K25" s="105">
        <f t="shared" si="8"/>
        <v>0</v>
      </c>
      <c r="L25" s="105">
        <f t="shared" si="8"/>
        <v>0</v>
      </c>
      <c r="M25" s="105">
        <f t="shared" si="8"/>
        <v>0</v>
      </c>
      <c r="N25" s="105">
        <f t="shared" si="8"/>
        <v>0</v>
      </c>
      <c r="O25" s="105">
        <f t="shared" si="8"/>
        <v>0</v>
      </c>
      <c r="P25" s="105">
        <f>+SUM(P26:P28)</f>
        <v>0</v>
      </c>
      <c r="Q25" s="105">
        <f t="shared" ref="Q25:AJ25" si="9">+SUM(Q26:Q28)</f>
        <v>0</v>
      </c>
      <c r="R25" s="105">
        <f t="shared" si="9"/>
        <v>0</v>
      </c>
      <c r="S25" s="105">
        <f t="shared" si="9"/>
        <v>0</v>
      </c>
      <c r="T25" s="105">
        <f t="shared" si="9"/>
        <v>0</v>
      </c>
      <c r="U25" s="105">
        <f t="shared" si="9"/>
        <v>0</v>
      </c>
      <c r="V25" s="105">
        <f t="shared" si="9"/>
        <v>0</v>
      </c>
      <c r="W25" s="105">
        <f t="shared" si="9"/>
        <v>0</v>
      </c>
      <c r="X25" s="105">
        <f t="shared" si="9"/>
        <v>0</v>
      </c>
      <c r="Y25" s="105">
        <f t="shared" si="9"/>
        <v>0</v>
      </c>
      <c r="Z25" s="105">
        <f t="shared" si="9"/>
        <v>0</v>
      </c>
      <c r="AA25" s="105">
        <f t="shared" si="9"/>
        <v>0</v>
      </c>
      <c r="AB25" s="105">
        <f t="shared" si="9"/>
        <v>0</v>
      </c>
      <c r="AC25" s="105">
        <f t="shared" si="9"/>
        <v>0</v>
      </c>
      <c r="AD25" s="105">
        <f t="shared" si="9"/>
        <v>0</v>
      </c>
      <c r="AE25" s="105">
        <f t="shared" si="9"/>
        <v>0</v>
      </c>
      <c r="AF25" s="105">
        <f t="shared" si="9"/>
        <v>0</v>
      </c>
      <c r="AG25" s="105">
        <f t="shared" si="9"/>
        <v>0</v>
      </c>
      <c r="AH25" s="105">
        <f t="shared" si="9"/>
        <v>0</v>
      </c>
      <c r="AI25" s="105">
        <f t="shared" si="9"/>
        <v>0</v>
      </c>
      <c r="AJ25" s="105">
        <f t="shared" si="9"/>
        <v>0</v>
      </c>
    </row>
    <row r="26" spans="1:36" x14ac:dyDescent="0.25">
      <c r="A26" s="88"/>
      <c r="B26" s="379"/>
      <c r="C26" s="106"/>
      <c r="D26" s="106"/>
      <c r="E26" s="379" t="s">
        <v>167</v>
      </c>
      <c r="F26" s="107">
        <f>+SUM(G26:AN26)</f>
        <v>0</v>
      </c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</row>
    <row r="27" spans="1:36" x14ac:dyDescent="0.25">
      <c r="A27" s="88"/>
      <c r="B27" s="379"/>
      <c r="C27" s="106"/>
      <c r="D27" s="106"/>
      <c r="E27" s="379" t="s">
        <v>168</v>
      </c>
      <c r="F27" s="107">
        <f>+SUM(G27:AN27)</f>
        <v>4038406.2512252969</v>
      </c>
      <c r="G27" s="95">
        <f>IN!H57</f>
        <v>4038406.2512252969</v>
      </c>
      <c r="H27" s="95">
        <f>IN!H58</f>
        <v>0</v>
      </c>
      <c r="I27" s="95">
        <f>IN!H59</f>
        <v>0</v>
      </c>
      <c r="J27" s="95">
        <f>IN!H60</f>
        <v>0</v>
      </c>
      <c r="K27" s="95">
        <f>IN!H61</f>
        <v>0</v>
      </c>
      <c r="L27" s="95">
        <f>IN!H62</f>
        <v>0</v>
      </c>
      <c r="M27" s="95">
        <f>IN!H63</f>
        <v>0</v>
      </c>
      <c r="N27" s="95">
        <f>IN!H64</f>
        <v>0</v>
      </c>
      <c r="O27" s="95">
        <f>IN!H65</f>
        <v>0</v>
      </c>
      <c r="P27" s="95">
        <f>IN!H66</f>
        <v>0</v>
      </c>
      <c r="Q27" s="95">
        <f>IN!H67</f>
        <v>0</v>
      </c>
      <c r="R27" s="95">
        <f>IN!H68</f>
        <v>0</v>
      </c>
      <c r="S27" s="95">
        <f>IN!H69</f>
        <v>0</v>
      </c>
      <c r="T27" s="95">
        <f>IN!H70</f>
        <v>0</v>
      </c>
      <c r="U27" s="95">
        <f>IN!H71</f>
        <v>0</v>
      </c>
      <c r="V27" s="95">
        <f>IN!H72</f>
        <v>0</v>
      </c>
      <c r="W27" s="95">
        <f>IN!H73</f>
        <v>0</v>
      </c>
      <c r="X27" s="95">
        <f>IN!H74</f>
        <v>0</v>
      </c>
      <c r="Y27" s="95">
        <f>IN!H75</f>
        <v>0</v>
      </c>
      <c r="Z27" s="95">
        <f>IN!H76</f>
        <v>0</v>
      </c>
      <c r="AA27" s="95">
        <f>IN!H77</f>
        <v>0</v>
      </c>
      <c r="AB27" s="95">
        <f>IN!H78</f>
        <v>0</v>
      </c>
      <c r="AC27" s="95">
        <f>IN!H79</f>
        <v>0</v>
      </c>
      <c r="AD27" s="95">
        <f>IN!H80</f>
        <v>0</v>
      </c>
      <c r="AE27" s="95">
        <f>IN!H81</f>
        <v>0</v>
      </c>
      <c r="AF27" s="95">
        <f>IN!H82</f>
        <v>0</v>
      </c>
      <c r="AG27" s="95">
        <f>IN!H83</f>
        <v>0</v>
      </c>
      <c r="AH27" s="95">
        <f>IN!H84</f>
        <v>0</v>
      </c>
      <c r="AI27" s="95">
        <f>IN!H85</f>
        <v>0</v>
      </c>
      <c r="AJ27" s="95">
        <f>IN!H86</f>
        <v>0</v>
      </c>
    </row>
    <row r="28" spans="1:36" x14ac:dyDescent="0.25">
      <c r="A28" s="88"/>
      <c r="B28" s="379"/>
      <c r="C28" s="106"/>
      <c r="D28" s="106"/>
      <c r="E28" s="379" t="s">
        <v>169</v>
      </c>
      <c r="F28" s="107">
        <f>+SUM(G28:AN28)</f>
        <v>0</v>
      </c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</row>
    <row r="29" spans="1:36" x14ac:dyDescent="0.25">
      <c r="A29" s="88"/>
      <c r="B29" s="104" t="s">
        <v>37</v>
      </c>
      <c r="C29" s="378" t="s">
        <v>562</v>
      </c>
      <c r="D29" s="378" t="s">
        <v>562</v>
      </c>
      <c r="E29" s="104"/>
      <c r="F29" s="105">
        <f t="shared" ref="F29:AJ29" si="10">+SUM(F30:F32)</f>
        <v>0</v>
      </c>
      <c r="G29" s="105">
        <f t="shared" si="10"/>
        <v>0</v>
      </c>
      <c r="H29" s="105">
        <f t="shared" si="10"/>
        <v>0</v>
      </c>
      <c r="I29" s="105">
        <f t="shared" si="10"/>
        <v>0</v>
      </c>
      <c r="J29" s="105">
        <f t="shared" si="10"/>
        <v>0</v>
      </c>
      <c r="K29" s="105">
        <f t="shared" si="10"/>
        <v>0</v>
      </c>
      <c r="L29" s="105">
        <f t="shared" si="10"/>
        <v>0</v>
      </c>
      <c r="M29" s="105">
        <f t="shared" si="10"/>
        <v>0</v>
      </c>
      <c r="N29" s="105">
        <f t="shared" si="10"/>
        <v>0</v>
      </c>
      <c r="O29" s="105">
        <f t="shared" si="10"/>
        <v>0</v>
      </c>
      <c r="P29" s="105">
        <f t="shared" si="10"/>
        <v>0</v>
      </c>
      <c r="Q29" s="105">
        <f t="shared" si="10"/>
        <v>0</v>
      </c>
      <c r="R29" s="105">
        <f t="shared" si="10"/>
        <v>0</v>
      </c>
      <c r="S29" s="105">
        <f t="shared" si="10"/>
        <v>0</v>
      </c>
      <c r="T29" s="105">
        <f t="shared" si="10"/>
        <v>0</v>
      </c>
      <c r="U29" s="105">
        <f t="shared" si="10"/>
        <v>0</v>
      </c>
      <c r="V29" s="105">
        <f t="shared" si="10"/>
        <v>0</v>
      </c>
      <c r="W29" s="105">
        <f t="shared" si="10"/>
        <v>0</v>
      </c>
      <c r="X29" s="105">
        <f t="shared" si="10"/>
        <v>0</v>
      </c>
      <c r="Y29" s="105">
        <f t="shared" si="10"/>
        <v>0</v>
      </c>
      <c r="Z29" s="105">
        <f t="shared" si="10"/>
        <v>0</v>
      </c>
      <c r="AA29" s="105">
        <f t="shared" si="10"/>
        <v>0</v>
      </c>
      <c r="AB29" s="105">
        <f t="shared" si="10"/>
        <v>0</v>
      </c>
      <c r="AC29" s="105">
        <f t="shared" si="10"/>
        <v>0</v>
      </c>
      <c r="AD29" s="105">
        <f t="shared" si="10"/>
        <v>0</v>
      </c>
      <c r="AE29" s="105">
        <f t="shared" si="10"/>
        <v>0</v>
      </c>
      <c r="AF29" s="105">
        <f t="shared" si="10"/>
        <v>0</v>
      </c>
      <c r="AG29" s="105">
        <f t="shared" si="10"/>
        <v>0</v>
      </c>
      <c r="AH29" s="105">
        <f t="shared" si="10"/>
        <v>0</v>
      </c>
      <c r="AI29" s="105">
        <f t="shared" si="10"/>
        <v>0</v>
      </c>
      <c r="AJ29" s="105">
        <f t="shared" si="10"/>
        <v>0</v>
      </c>
    </row>
    <row r="30" spans="1:36" x14ac:dyDescent="0.25">
      <c r="A30" s="88"/>
      <c r="B30" s="379"/>
      <c r="C30" s="106"/>
      <c r="D30" s="106"/>
      <c r="E30" s="379" t="s">
        <v>167</v>
      </c>
      <c r="F30" s="107">
        <f>SUM(G30:AN30)</f>
        <v>0</v>
      </c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</row>
    <row r="31" spans="1:36" x14ac:dyDescent="0.25">
      <c r="A31" s="88"/>
      <c r="B31" s="379"/>
      <c r="C31" s="106"/>
      <c r="D31" s="106"/>
      <c r="E31" s="379" t="s">
        <v>168</v>
      </c>
      <c r="F31" s="107">
        <f>SUM(G31:AN31)</f>
        <v>0</v>
      </c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</row>
    <row r="32" spans="1:36" x14ac:dyDescent="0.25">
      <c r="A32" s="88"/>
      <c r="B32" s="321"/>
      <c r="C32" s="109"/>
      <c r="D32" s="109"/>
      <c r="E32" s="321" t="s">
        <v>169</v>
      </c>
      <c r="F32" s="110">
        <f>SUM(G32:AN32)</f>
        <v>0</v>
      </c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</row>
    <row r="33" spans="1:36" x14ac:dyDescent="0.25">
      <c r="A33" s="88"/>
      <c r="B33" s="789" t="s">
        <v>171</v>
      </c>
      <c r="C33" s="790"/>
      <c r="D33" s="790"/>
      <c r="E33" s="791"/>
      <c r="F33" s="111">
        <f t="shared" ref="F33:AJ33" si="11">SUM(F17,F21,F25,F29)</f>
        <v>5407753.2212252971</v>
      </c>
      <c r="G33" s="111">
        <f t="shared" si="11"/>
        <v>5407753.2212252971</v>
      </c>
      <c r="H33" s="111">
        <f t="shared" si="11"/>
        <v>0</v>
      </c>
      <c r="I33" s="111">
        <f t="shared" si="11"/>
        <v>0</v>
      </c>
      <c r="J33" s="111">
        <f t="shared" si="11"/>
        <v>0</v>
      </c>
      <c r="K33" s="111">
        <f t="shared" si="11"/>
        <v>0</v>
      </c>
      <c r="L33" s="111">
        <f t="shared" si="11"/>
        <v>0</v>
      </c>
      <c r="M33" s="111">
        <f t="shared" si="11"/>
        <v>0</v>
      </c>
      <c r="N33" s="111">
        <f t="shared" si="11"/>
        <v>0</v>
      </c>
      <c r="O33" s="111">
        <f t="shared" si="11"/>
        <v>0</v>
      </c>
      <c r="P33" s="111">
        <f>SUM(P17,P21,P25,P29)</f>
        <v>0</v>
      </c>
      <c r="Q33" s="111">
        <f t="shared" si="11"/>
        <v>0</v>
      </c>
      <c r="R33" s="111">
        <f t="shared" si="11"/>
        <v>0</v>
      </c>
      <c r="S33" s="111">
        <f t="shared" si="11"/>
        <v>0</v>
      </c>
      <c r="T33" s="111">
        <f t="shared" si="11"/>
        <v>0</v>
      </c>
      <c r="U33" s="111">
        <f t="shared" si="11"/>
        <v>0</v>
      </c>
      <c r="V33" s="111">
        <f t="shared" si="11"/>
        <v>0</v>
      </c>
      <c r="W33" s="111">
        <f t="shared" si="11"/>
        <v>0</v>
      </c>
      <c r="X33" s="111">
        <f t="shared" si="11"/>
        <v>0</v>
      </c>
      <c r="Y33" s="111">
        <f t="shared" si="11"/>
        <v>0</v>
      </c>
      <c r="Z33" s="111">
        <f t="shared" si="11"/>
        <v>0</v>
      </c>
      <c r="AA33" s="111">
        <f t="shared" si="11"/>
        <v>0</v>
      </c>
      <c r="AB33" s="111">
        <f t="shared" si="11"/>
        <v>0</v>
      </c>
      <c r="AC33" s="111">
        <f t="shared" si="11"/>
        <v>0</v>
      </c>
      <c r="AD33" s="111">
        <f t="shared" si="11"/>
        <v>0</v>
      </c>
      <c r="AE33" s="111">
        <f t="shared" si="11"/>
        <v>0</v>
      </c>
      <c r="AF33" s="111">
        <f t="shared" si="11"/>
        <v>0</v>
      </c>
      <c r="AG33" s="111">
        <f t="shared" si="11"/>
        <v>0</v>
      </c>
      <c r="AH33" s="111">
        <f t="shared" si="11"/>
        <v>0</v>
      </c>
      <c r="AI33" s="111">
        <f t="shared" si="11"/>
        <v>0</v>
      </c>
      <c r="AJ33" s="111">
        <f t="shared" si="11"/>
        <v>0</v>
      </c>
    </row>
    <row r="34" spans="1:36" x14ac:dyDescent="0.25">
      <c r="A34" s="1"/>
      <c r="B34" s="1"/>
      <c r="C34" s="1"/>
      <c r="D34" s="1"/>
      <c r="E34" s="1"/>
      <c r="F34" s="11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</row>
    <row r="35" spans="1:36" x14ac:dyDescent="0.25">
      <c r="A35" s="99"/>
      <c r="B35" s="99"/>
      <c r="C35" s="99"/>
      <c r="D35" s="113"/>
      <c r="E35" s="99"/>
      <c r="F35" s="99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</row>
    <row r="36" spans="1:36" x14ac:dyDescent="0.25">
      <c r="A36" s="99"/>
      <c r="B36" s="99"/>
      <c r="C36" s="99"/>
      <c r="D36" s="113"/>
      <c r="E36" s="99"/>
      <c r="F36" s="99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4"/>
      <c r="AG36" s="114"/>
      <c r="AH36" s="114"/>
      <c r="AI36" s="114"/>
      <c r="AJ36" s="114"/>
    </row>
    <row r="37" spans="1:36" x14ac:dyDescent="0.25">
      <c r="A37" s="1"/>
      <c r="B37" s="1"/>
      <c r="C37" s="1"/>
      <c r="D37" s="1"/>
      <c r="E37" s="1"/>
      <c r="F37" s="11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</row>
    <row r="38" spans="1:36" x14ac:dyDescent="0.25">
      <c r="A38" s="114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</row>
    <row r="39" spans="1:36" outlineLevel="1" x14ac:dyDescent="0.25">
      <c r="A39" s="1"/>
      <c r="B39" s="115" t="s">
        <v>172</v>
      </c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</row>
    <row r="40" spans="1:36" outlineLevel="1" x14ac:dyDescent="0.25">
      <c r="A40" s="1"/>
      <c r="B40" s="115"/>
      <c r="C40" s="116"/>
      <c r="D40" s="117" t="s">
        <v>173</v>
      </c>
      <c r="E40" s="116"/>
      <c r="F40" s="116"/>
      <c r="G40" s="117">
        <v>1</v>
      </c>
      <c r="H40" s="117">
        <f>G40+1</f>
        <v>2</v>
      </c>
      <c r="I40" s="117">
        <f t="shared" ref="I40:AJ40" si="12">H40+1</f>
        <v>3</v>
      </c>
      <c r="J40" s="117">
        <f t="shared" si="12"/>
        <v>4</v>
      </c>
      <c r="K40" s="117">
        <f t="shared" si="12"/>
        <v>5</v>
      </c>
      <c r="L40" s="117">
        <f t="shared" si="12"/>
        <v>6</v>
      </c>
      <c r="M40" s="117">
        <f t="shared" si="12"/>
        <v>7</v>
      </c>
      <c r="N40" s="117">
        <f t="shared" si="12"/>
        <v>8</v>
      </c>
      <c r="O40" s="117">
        <f t="shared" si="12"/>
        <v>9</v>
      </c>
      <c r="P40" s="117">
        <f t="shared" si="12"/>
        <v>10</v>
      </c>
      <c r="Q40" s="117">
        <f t="shared" si="12"/>
        <v>11</v>
      </c>
      <c r="R40" s="117">
        <f t="shared" si="12"/>
        <v>12</v>
      </c>
      <c r="S40" s="117">
        <f t="shared" si="12"/>
        <v>13</v>
      </c>
      <c r="T40" s="117">
        <f t="shared" si="12"/>
        <v>14</v>
      </c>
      <c r="U40" s="117">
        <f t="shared" si="12"/>
        <v>15</v>
      </c>
      <c r="V40" s="117">
        <f t="shared" si="12"/>
        <v>16</v>
      </c>
      <c r="W40" s="117">
        <f t="shared" si="12"/>
        <v>17</v>
      </c>
      <c r="X40" s="117">
        <f t="shared" si="12"/>
        <v>18</v>
      </c>
      <c r="Y40" s="117">
        <f t="shared" si="12"/>
        <v>19</v>
      </c>
      <c r="Z40" s="117">
        <f t="shared" si="12"/>
        <v>20</v>
      </c>
      <c r="AA40" s="117">
        <f t="shared" si="12"/>
        <v>21</v>
      </c>
      <c r="AB40" s="117">
        <f t="shared" si="12"/>
        <v>22</v>
      </c>
      <c r="AC40" s="117">
        <f t="shared" si="12"/>
        <v>23</v>
      </c>
      <c r="AD40" s="117">
        <f t="shared" si="12"/>
        <v>24</v>
      </c>
      <c r="AE40" s="117">
        <f t="shared" si="12"/>
        <v>25</v>
      </c>
      <c r="AF40" s="117">
        <f t="shared" si="12"/>
        <v>26</v>
      </c>
      <c r="AG40" s="117">
        <f t="shared" si="12"/>
        <v>27</v>
      </c>
      <c r="AH40" s="117">
        <f t="shared" si="12"/>
        <v>28</v>
      </c>
      <c r="AI40" s="117">
        <f t="shared" si="12"/>
        <v>29</v>
      </c>
      <c r="AJ40" s="117">
        <f t="shared" si="12"/>
        <v>30</v>
      </c>
    </row>
    <row r="41" spans="1:36" outlineLevel="1" x14ac:dyDescent="0.25">
      <c r="A41" s="1"/>
      <c r="B41" s="115"/>
      <c r="C41" s="118"/>
      <c r="D41" s="118">
        <f>SUM(G41:AJ41)</f>
        <v>5407753.2212252961</v>
      </c>
      <c r="E41" s="118"/>
      <c r="F41" s="118"/>
      <c r="G41" s="118">
        <f t="shared" ref="G41:AJ41" si="13">SUM(G42:G71)</f>
        <v>235119.70527066509</v>
      </c>
      <c r="H41" s="118">
        <f t="shared" si="13"/>
        <v>235119.70527066509</v>
      </c>
      <c r="I41" s="118">
        <f t="shared" si="13"/>
        <v>235119.70527066509</v>
      </c>
      <c r="J41" s="118">
        <f t="shared" si="13"/>
        <v>235119.70527066509</v>
      </c>
      <c r="K41" s="118">
        <f t="shared" si="13"/>
        <v>235119.70527066509</v>
      </c>
      <c r="L41" s="118">
        <f t="shared" si="13"/>
        <v>235119.70527066509</v>
      </c>
      <c r="M41" s="118">
        <f t="shared" si="13"/>
        <v>235119.70527066509</v>
      </c>
      <c r="N41" s="118">
        <f t="shared" si="13"/>
        <v>235119.70527066509</v>
      </c>
      <c r="O41" s="118">
        <f t="shared" si="13"/>
        <v>235119.70527066509</v>
      </c>
      <c r="P41" s="118">
        <f t="shared" si="13"/>
        <v>235119.70527066509</v>
      </c>
      <c r="Q41" s="118">
        <f t="shared" si="13"/>
        <v>235119.70527066509</v>
      </c>
      <c r="R41" s="118">
        <f t="shared" si="13"/>
        <v>235119.70527066509</v>
      </c>
      <c r="S41" s="118">
        <f t="shared" si="13"/>
        <v>235119.70527066509</v>
      </c>
      <c r="T41" s="118">
        <f t="shared" si="13"/>
        <v>235119.70527066509</v>
      </c>
      <c r="U41" s="118">
        <f t="shared" si="13"/>
        <v>235119.70527066509</v>
      </c>
      <c r="V41" s="118">
        <f t="shared" si="13"/>
        <v>235119.70527066509</v>
      </c>
      <c r="W41" s="118">
        <f t="shared" si="13"/>
        <v>235119.70527066509</v>
      </c>
      <c r="X41" s="118">
        <f t="shared" si="13"/>
        <v>235119.70527066509</v>
      </c>
      <c r="Y41" s="118">
        <f t="shared" si="13"/>
        <v>235119.70527066509</v>
      </c>
      <c r="Z41" s="118">
        <f t="shared" si="13"/>
        <v>235119.70527066509</v>
      </c>
      <c r="AA41" s="118">
        <f t="shared" si="13"/>
        <v>235119.70527066509</v>
      </c>
      <c r="AB41" s="118">
        <f t="shared" si="13"/>
        <v>235119.70527066509</v>
      </c>
      <c r="AC41" s="118">
        <f t="shared" si="13"/>
        <v>235119.70527066509</v>
      </c>
      <c r="AD41" s="118">
        <f t="shared" si="13"/>
        <v>0</v>
      </c>
      <c r="AE41" s="118">
        <f t="shared" si="13"/>
        <v>0</v>
      </c>
      <c r="AF41" s="118">
        <f t="shared" si="13"/>
        <v>0</v>
      </c>
      <c r="AG41" s="118">
        <f t="shared" si="13"/>
        <v>0</v>
      </c>
      <c r="AH41" s="118">
        <f t="shared" si="13"/>
        <v>0</v>
      </c>
      <c r="AI41" s="118">
        <f t="shared" si="13"/>
        <v>0</v>
      </c>
      <c r="AJ41" s="118">
        <f t="shared" si="13"/>
        <v>0</v>
      </c>
    </row>
    <row r="42" spans="1:36" outlineLevel="1" x14ac:dyDescent="0.25">
      <c r="A42" s="1"/>
      <c r="B42" s="115"/>
      <c r="C42" s="118"/>
      <c r="D42" s="118">
        <f>SUM(G42:AJ42)</f>
        <v>5407753.2212252961</v>
      </c>
      <c r="E42" s="118"/>
      <c r="F42" s="119" t="s">
        <v>174</v>
      </c>
      <c r="G42" s="120">
        <f>IF(G40&lt;=IN!$C$47,($G$33/IN!$C$47),0)</f>
        <v>235119.70527066509</v>
      </c>
      <c r="H42" s="118">
        <f>IF(H40&lt;=IN!$C$47,($G$33/IN!$C$47),0)</f>
        <v>235119.70527066509</v>
      </c>
      <c r="I42" s="118">
        <f>IF(I40&lt;=IN!$C$47,($G$33/IN!$C$47),0)</f>
        <v>235119.70527066509</v>
      </c>
      <c r="J42" s="118">
        <f>IF(J40&lt;=IN!$C$47,($G$33/IN!$C$47),0)</f>
        <v>235119.70527066509</v>
      </c>
      <c r="K42" s="118">
        <f>IF(K40&lt;=IN!$C$47,($G$33/IN!$C$47),0)</f>
        <v>235119.70527066509</v>
      </c>
      <c r="L42" s="118">
        <f>IF(L40&lt;=IN!$C$47,($G$33/IN!$C$47),0)</f>
        <v>235119.70527066509</v>
      </c>
      <c r="M42" s="118">
        <f>IF(M40&lt;=IN!$C$47,($G$33/IN!$C$47),0)</f>
        <v>235119.70527066509</v>
      </c>
      <c r="N42" s="118">
        <f>IF(N40&lt;=IN!$C$47,($G$33/IN!$C$47),0)</f>
        <v>235119.70527066509</v>
      </c>
      <c r="O42" s="118">
        <f>IF(O40&lt;=IN!$C$47,($G$33/IN!$C$47),0)</f>
        <v>235119.70527066509</v>
      </c>
      <c r="P42" s="118">
        <f>IF(P40&lt;=IN!$C$47,($G$33/IN!$C$47),0)</f>
        <v>235119.70527066509</v>
      </c>
      <c r="Q42" s="118">
        <f>IF(Q40&lt;=IN!$C$47,($G$33/IN!$C$47),0)</f>
        <v>235119.70527066509</v>
      </c>
      <c r="R42" s="118">
        <f>IF(R40&lt;=IN!$C$47,($G$33/IN!$C$47),0)</f>
        <v>235119.70527066509</v>
      </c>
      <c r="S42" s="118">
        <f>IF(S40&lt;=IN!$C$47,($G$33/IN!$C$47),0)</f>
        <v>235119.70527066509</v>
      </c>
      <c r="T42" s="118">
        <f>IF(T40&lt;=IN!$C$47,($G$33/IN!$C$47),0)</f>
        <v>235119.70527066509</v>
      </c>
      <c r="U42" s="118">
        <f>IF(U40&lt;=IN!$C$47,($G$33/IN!$C$47),0)</f>
        <v>235119.70527066509</v>
      </c>
      <c r="V42" s="118">
        <f>IF(V40&lt;=IN!$C$47,($G$33/IN!$C$47),0)</f>
        <v>235119.70527066509</v>
      </c>
      <c r="W42" s="118">
        <f>IF(W40&lt;=IN!$C$47,($G$33/IN!$C$47),0)</f>
        <v>235119.70527066509</v>
      </c>
      <c r="X42" s="118">
        <f>IF(X40&lt;=IN!$C$47,($G$33/IN!$C$47),0)</f>
        <v>235119.70527066509</v>
      </c>
      <c r="Y42" s="118">
        <f>IF(Y40&lt;=IN!$C$47,($G$33/IN!$C$47),0)</f>
        <v>235119.70527066509</v>
      </c>
      <c r="Z42" s="118">
        <f>IF(Z40&lt;=IN!$C$47,($G$33/IN!$C$47),0)</f>
        <v>235119.70527066509</v>
      </c>
      <c r="AA42" s="118">
        <f>IF(AA40&lt;=IN!$C$47,($G$33/IN!$C$47),0)</f>
        <v>235119.70527066509</v>
      </c>
      <c r="AB42" s="118">
        <f>IF(AB40&lt;=IN!$C$47,($G$33/IN!$C$47),0)</f>
        <v>235119.70527066509</v>
      </c>
      <c r="AC42" s="118">
        <f>IF(AC40&lt;=IN!$C$47,($G$33/IN!$C$47),0)</f>
        <v>235119.70527066509</v>
      </c>
      <c r="AD42" s="118">
        <f>IF(AD40&lt;=IN!$C$47,($G$33/IN!$C$47),0)</f>
        <v>0</v>
      </c>
      <c r="AE42" s="118">
        <f>IF(AE40&lt;=IN!$C$47,($G$33/IN!$C$47),0)</f>
        <v>0</v>
      </c>
      <c r="AF42" s="118">
        <f>IF(AF40&lt;=IN!$C$47,($G$33/IN!$C$47),0)</f>
        <v>0</v>
      </c>
      <c r="AG42" s="118">
        <f>IF(AG40&lt;=IN!$C$47,($G$33/IN!$C$47),0)</f>
        <v>0</v>
      </c>
      <c r="AH42" s="118">
        <f>IF(AH40&lt;=IN!$C$47,($G$33/IN!$C$47),0)</f>
        <v>0</v>
      </c>
      <c r="AI42" s="118">
        <f>IF(AI40&lt;=IN!$C$47,($G$33/IN!$C$47),0)</f>
        <v>0</v>
      </c>
      <c r="AJ42" s="118">
        <f>IF(AJ40&lt;=IN!$C$47,($G$33/IN!$C$47),0)</f>
        <v>0</v>
      </c>
    </row>
    <row r="43" spans="1:36" outlineLevel="1" x14ac:dyDescent="0.25">
      <c r="A43" s="1"/>
      <c r="B43" s="115"/>
      <c r="C43" s="118"/>
      <c r="D43" s="118">
        <f t="shared" ref="D43:D71" si="14">SUM(G43:AJ43)</f>
        <v>0</v>
      </c>
      <c r="E43" s="118"/>
      <c r="F43" s="119" t="s">
        <v>175</v>
      </c>
      <c r="G43" s="118"/>
      <c r="H43" s="120">
        <f>IF(H40&lt;=IN!$C$47,($H$33/(IN!$C$47-1)),0)</f>
        <v>0</v>
      </c>
      <c r="I43" s="118">
        <f>IF(I40&lt;=IN!$C$47,($H$33/(IN!$C$47-1)),0)</f>
        <v>0</v>
      </c>
      <c r="J43" s="118">
        <f>IF(J40&lt;=IN!$C$47,($H$33/(IN!$C$47-1)),0)</f>
        <v>0</v>
      </c>
      <c r="K43" s="118">
        <f>IF(K40&lt;=IN!$C$47,($H$33/(IN!$C$47-1)),0)</f>
        <v>0</v>
      </c>
      <c r="L43" s="118">
        <f>IF(L40&lt;=IN!$C$47,($H$33/(IN!$C$47-1)),0)</f>
        <v>0</v>
      </c>
      <c r="M43" s="118">
        <f>IF(M40&lt;=IN!$C$47,($H$33/(IN!$C$47-1)),0)</f>
        <v>0</v>
      </c>
      <c r="N43" s="118">
        <f>IF(N40&lt;=IN!$C$47,($H$33/(IN!$C$47-1)),0)</f>
        <v>0</v>
      </c>
      <c r="O43" s="118">
        <f>IF(O40&lt;=IN!$C$47,($H$33/(IN!$C$47-1)),0)</f>
        <v>0</v>
      </c>
      <c r="P43" s="118">
        <f>IF(P40&lt;=IN!$C$47,($H$33/(IN!$C$47-1)),0)</f>
        <v>0</v>
      </c>
      <c r="Q43" s="118">
        <f>IF(Q40&lt;=IN!$C$47,($H$33/(IN!$C$47-1)),0)</f>
        <v>0</v>
      </c>
      <c r="R43" s="118">
        <f>IF(R40&lt;=IN!$C$47,($H$33/(IN!$C$47-1)),0)</f>
        <v>0</v>
      </c>
      <c r="S43" s="118">
        <f>IF(S40&lt;=IN!$C$47,($H$33/(IN!$C$47-1)),0)</f>
        <v>0</v>
      </c>
      <c r="T43" s="118">
        <f>IF(T40&lt;=IN!$C$47,($H$33/(IN!$C$47-1)),0)</f>
        <v>0</v>
      </c>
      <c r="U43" s="118">
        <f>IF(U40&lt;=IN!$C$47,($H$33/(IN!$C$47-1)),0)</f>
        <v>0</v>
      </c>
      <c r="V43" s="118">
        <f>IF(V40&lt;=IN!$C$47,($H$33/(IN!$C$47-1)),0)</f>
        <v>0</v>
      </c>
      <c r="W43" s="118">
        <f>IF(W40&lt;=IN!$C$47,($H$33/(IN!$C$47-1)),0)</f>
        <v>0</v>
      </c>
      <c r="X43" s="118">
        <f>IF(X40&lt;=IN!$C$47,($H$33/(IN!$C$47-1)),0)</f>
        <v>0</v>
      </c>
      <c r="Y43" s="118">
        <f>IF(Y40&lt;=IN!$C$47,($H$33/(IN!$C$47-1)),0)</f>
        <v>0</v>
      </c>
      <c r="Z43" s="118">
        <f>IF(Z40&lt;=IN!$C$47,($H$33/(IN!$C$47-1)),0)</f>
        <v>0</v>
      </c>
      <c r="AA43" s="118">
        <f>IF(AA40&lt;=IN!$C$47,($H$33/(IN!$C$47-1)),0)</f>
        <v>0</v>
      </c>
      <c r="AB43" s="118">
        <f>IF(AB40&lt;=IN!$C$47,($H$33/(IN!$C$47-1)),0)</f>
        <v>0</v>
      </c>
      <c r="AC43" s="118">
        <f>IF(AC40&lt;=IN!$C$47,($H$33/(IN!$C$47-1)),0)</f>
        <v>0</v>
      </c>
      <c r="AD43" s="118">
        <f>IF(AD40&lt;=IN!$C$47,($H$33/(IN!$C$47-1)),0)</f>
        <v>0</v>
      </c>
      <c r="AE43" s="118">
        <f>IF(AE40&lt;=IN!$C$47,($H$33/(IN!$C$47-1)),0)</f>
        <v>0</v>
      </c>
      <c r="AF43" s="118">
        <f>IF(AF40&lt;=IN!$C$47,($H$33/(IN!$C$47-1)),0)</f>
        <v>0</v>
      </c>
      <c r="AG43" s="118">
        <f>IF(AG40&lt;=IN!$C$47,($H$33/(IN!$C$47-1)),0)</f>
        <v>0</v>
      </c>
      <c r="AH43" s="118">
        <f>IF(AH40&lt;=IN!$C$47,($H$33/(IN!$C$47-1)),0)</f>
        <v>0</v>
      </c>
      <c r="AI43" s="118">
        <f>IF(AI40&lt;=IN!$C$47,($H$33/(IN!$C$47-1)),0)</f>
        <v>0</v>
      </c>
      <c r="AJ43" s="118">
        <f>IF(AJ40&lt;=IN!$C$47,($H$33/(IN!$C$47-1)),0)</f>
        <v>0</v>
      </c>
    </row>
    <row r="44" spans="1:36" outlineLevel="1" x14ac:dyDescent="0.25">
      <c r="A44" s="1"/>
      <c r="B44" s="115"/>
      <c r="C44" s="118"/>
      <c r="D44" s="118">
        <f t="shared" si="14"/>
        <v>0</v>
      </c>
      <c r="E44" s="118"/>
      <c r="F44" s="119" t="s">
        <v>176</v>
      </c>
      <c r="G44" s="118"/>
      <c r="H44" s="118"/>
      <c r="I44" s="120">
        <f>IF(I40&lt;=IN!$C$47,($I$33/(IN!$C$47-2)),0)</f>
        <v>0</v>
      </c>
      <c r="J44" s="118">
        <f>IF(J40&lt;=IN!$C$47,($I$33/(IN!$C$47-2)),0)</f>
        <v>0</v>
      </c>
      <c r="K44" s="118">
        <f>IF(K40&lt;=IN!$C$47,($I$33/(IN!$C$47-2)),0)</f>
        <v>0</v>
      </c>
      <c r="L44" s="118">
        <f>IF(L40&lt;=IN!$C$47,($I$33/(IN!$C$47-2)),0)</f>
        <v>0</v>
      </c>
      <c r="M44" s="118">
        <f>IF(M40&lt;=IN!$C$47,($I$33/(IN!$C$47-2)),0)</f>
        <v>0</v>
      </c>
      <c r="N44" s="118">
        <f>IF(N40&lt;=IN!$C$47,($I$33/(IN!$C$47-2)),0)</f>
        <v>0</v>
      </c>
      <c r="O44" s="118">
        <f>IF(O40&lt;=IN!$C$47,($I$33/(IN!$C$47-2)),0)</f>
        <v>0</v>
      </c>
      <c r="P44" s="118">
        <f>IF(P40&lt;=IN!$C$47,($I$33/(IN!$C$47-2)),0)</f>
        <v>0</v>
      </c>
      <c r="Q44" s="118">
        <f>IF(Q40&lt;=IN!$C$47,($I$33/(IN!$C$47-2)),0)</f>
        <v>0</v>
      </c>
      <c r="R44" s="118">
        <f>IF(R40&lt;=IN!$C$47,($I$33/(IN!$C$47-2)),0)</f>
        <v>0</v>
      </c>
      <c r="S44" s="118">
        <f>IF(S40&lt;=IN!$C$47,($I$33/(IN!$C$47-2)),0)</f>
        <v>0</v>
      </c>
      <c r="T44" s="118">
        <f>IF(T40&lt;=IN!$C$47,($I$33/(IN!$C$47-2)),0)</f>
        <v>0</v>
      </c>
      <c r="U44" s="118">
        <f>IF(U40&lt;=IN!$C$47,($I$33/(IN!$C$47-2)),0)</f>
        <v>0</v>
      </c>
      <c r="V44" s="118">
        <f>IF(V40&lt;=IN!$C$47,($I$33/(IN!$C$47-2)),0)</f>
        <v>0</v>
      </c>
      <c r="W44" s="118">
        <f>IF(W40&lt;=IN!$C$47,($I$33/(IN!$C$47-2)),0)</f>
        <v>0</v>
      </c>
      <c r="X44" s="118">
        <f>IF(X40&lt;=IN!$C$47,($I$33/(IN!$C$47-2)),0)</f>
        <v>0</v>
      </c>
      <c r="Y44" s="118">
        <f>IF(Y40&lt;=IN!$C$47,($I$33/(IN!$C$47-2)),0)</f>
        <v>0</v>
      </c>
      <c r="Z44" s="118">
        <f>IF(Z40&lt;=IN!$C$47,($I$33/(IN!$C$47-2)),0)</f>
        <v>0</v>
      </c>
      <c r="AA44" s="118">
        <f>IF(AA40&lt;=IN!$C$47,($I$33/(IN!$C$47-2)),0)</f>
        <v>0</v>
      </c>
      <c r="AB44" s="118">
        <f>IF(AB40&lt;=IN!$C$47,($I$33/(IN!$C$47-2)),0)</f>
        <v>0</v>
      </c>
      <c r="AC44" s="118">
        <f>IF(AC40&lt;=IN!$C$47,($I$33/(IN!$C$47-2)),0)</f>
        <v>0</v>
      </c>
      <c r="AD44" s="118">
        <f>IF(AD40&lt;=IN!$C$47,($I$33/(IN!$C$47-2)),0)</f>
        <v>0</v>
      </c>
      <c r="AE44" s="118">
        <f>IF(AE40&lt;=IN!$C$47,($I$33/(IN!$C$47-2)),0)</f>
        <v>0</v>
      </c>
      <c r="AF44" s="118">
        <f>IF(AF40&lt;=IN!$C$47,($I$33/(IN!$C$47-2)),0)</f>
        <v>0</v>
      </c>
      <c r="AG44" s="118">
        <f>IF(AG40&lt;=IN!$C$47,($I$33/(IN!$C$47-2)),0)</f>
        <v>0</v>
      </c>
      <c r="AH44" s="118">
        <f>IF(AH40&lt;=IN!$C$47,($I$33/(IN!$C$47-2)),0)</f>
        <v>0</v>
      </c>
      <c r="AI44" s="118">
        <f>IF(AI40&lt;=IN!$C$47,($I$33/(IN!$C$47-2)),0)</f>
        <v>0</v>
      </c>
      <c r="AJ44" s="118">
        <f>IF(AJ40&lt;=IN!$C$47,($I$33/(IN!$C$47-2)),0)</f>
        <v>0</v>
      </c>
    </row>
    <row r="45" spans="1:36" outlineLevel="1" x14ac:dyDescent="0.25">
      <c r="A45" s="1"/>
      <c r="B45" s="115"/>
      <c r="C45" s="118"/>
      <c r="D45" s="118">
        <f>SUM(G45:AJ45)</f>
        <v>0</v>
      </c>
      <c r="E45" s="118"/>
      <c r="F45" s="119" t="s">
        <v>177</v>
      </c>
      <c r="G45" s="118"/>
      <c r="H45" s="118"/>
      <c r="I45" s="118"/>
      <c r="J45" s="120">
        <f>IF(J40&lt;=IN!$C$47,$J$33/(IN!$C$47-3),0)</f>
        <v>0</v>
      </c>
      <c r="K45" s="118">
        <f>IF(K40&lt;=IN!$C$47,$J$33/(IN!$C$47-3),0)</f>
        <v>0</v>
      </c>
      <c r="L45" s="118">
        <f>IF(L40&lt;=IN!$C$47,$J$33/(IN!$C$47-3),0)</f>
        <v>0</v>
      </c>
      <c r="M45" s="118">
        <f>IF(M40&lt;=IN!$C$47,$J$33/(IN!$C$47-3),0)</f>
        <v>0</v>
      </c>
      <c r="N45" s="118">
        <f>IF(N40&lt;=IN!$C$47,$J$33/(IN!$C$47-3),0)</f>
        <v>0</v>
      </c>
      <c r="O45" s="118">
        <f>IF(O40&lt;=IN!$C$47,$J$33/(IN!$C$47-3),0)</f>
        <v>0</v>
      </c>
      <c r="P45" s="118">
        <f>IF(P40&lt;=IN!$C$47,$J$33/(IN!$C$47-3),0)</f>
        <v>0</v>
      </c>
      <c r="Q45" s="118">
        <f>IF(Q40&lt;=IN!$C$47,$J$33/(IN!$C$47-3),0)</f>
        <v>0</v>
      </c>
      <c r="R45" s="118">
        <f>IF(R40&lt;=IN!$C$47,$J$33/(IN!$C$47-3),0)</f>
        <v>0</v>
      </c>
      <c r="S45" s="118">
        <f>IF(S40&lt;=IN!$C$47,$J$33/(IN!$C$47-3),0)</f>
        <v>0</v>
      </c>
      <c r="T45" s="118">
        <f>IF(T40&lt;=IN!$C$47,$J$33/(IN!$C$47-3),0)</f>
        <v>0</v>
      </c>
      <c r="U45" s="118">
        <f>IF(U40&lt;=IN!$C$47,$J$33/(IN!$C$47-3),0)</f>
        <v>0</v>
      </c>
      <c r="V45" s="118">
        <f>IF(V40&lt;=IN!$C$47,$J$33/(IN!$C$47-3),0)</f>
        <v>0</v>
      </c>
      <c r="W45" s="118">
        <f>IF(W40&lt;=IN!$C$47,$J$33/(IN!$C$47-3),0)</f>
        <v>0</v>
      </c>
      <c r="X45" s="118">
        <f>IF(X40&lt;=IN!$C$47,$J$33/(IN!$C$47-3),0)</f>
        <v>0</v>
      </c>
      <c r="Y45" s="118">
        <f>IF(Y40&lt;=IN!$C$47,$J$33/(IN!$C$47-3),0)</f>
        <v>0</v>
      </c>
      <c r="Z45" s="118">
        <f>IF(Z40&lt;=IN!$C$47,$J$33/(IN!$C$47-3),0)</f>
        <v>0</v>
      </c>
      <c r="AA45" s="118">
        <f>IF(AA40&lt;=IN!$C$47,$J$33/(IN!$C$47-3),0)</f>
        <v>0</v>
      </c>
      <c r="AB45" s="118">
        <f>IF(AB40&lt;=IN!$C$47,$J$33/(IN!$C$47-3),0)</f>
        <v>0</v>
      </c>
      <c r="AC45" s="118">
        <f>IF(AC40&lt;=IN!$C$47,$J$33/(IN!$C$47-3),0)</f>
        <v>0</v>
      </c>
      <c r="AD45" s="118">
        <f>IF(AD40&lt;=IN!$C$47,$J$33/(IN!$C$47-3),0)</f>
        <v>0</v>
      </c>
      <c r="AE45" s="118">
        <f>IF(AE40&lt;=IN!$C$47,$J$33/(IN!$C$47-3),0)</f>
        <v>0</v>
      </c>
      <c r="AF45" s="118">
        <f>IF(AF40&lt;=IN!$C$47,$J$33/(IN!$C$47-3),0)</f>
        <v>0</v>
      </c>
      <c r="AG45" s="118">
        <f>IF(AG40&lt;=IN!$C$47,$J$33/(IN!$C$47-3),0)</f>
        <v>0</v>
      </c>
      <c r="AH45" s="118">
        <f>IF(AH40&lt;=IN!$C$47,$J$33/(IN!$C$47-3),0)</f>
        <v>0</v>
      </c>
      <c r="AI45" s="118">
        <f>IF(AI40&lt;=IN!$C$47,$J$33/(IN!$C$47-3),0)</f>
        <v>0</v>
      </c>
      <c r="AJ45" s="118">
        <f>IF(AJ40&lt;=IN!$C$47,$J$33/(IN!$C$47-3),0)</f>
        <v>0</v>
      </c>
    </row>
    <row r="46" spans="1:36" outlineLevel="1" x14ac:dyDescent="0.25">
      <c r="A46" s="1"/>
      <c r="B46" s="115"/>
      <c r="C46" s="118"/>
      <c r="D46" s="118">
        <f t="shared" si="14"/>
        <v>0</v>
      </c>
      <c r="E46" s="118"/>
      <c r="F46" s="119" t="s">
        <v>178</v>
      </c>
      <c r="G46" s="118"/>
      <c r="H46" s="118"/>
      <c r="I46" s="118"/>
      <c r="J46" s="118"/>
      <c r="K46" s="120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</row>
    <row r="47" spans="1:36" outlineLevel="1" x14ac:dyDescent="0.25">
      <c r="A47" s="114"/>
      <c r="B47" s="115"/>
      <c r="C47" s="118"/>
      <c r="D47" s="118">
        <f t="shared" si="14"/>
        <v>0</v>
      </c>
      <c r="E47" s="118"/>
      <c r="F47" s="119" t="s">
        <v>179</v>
      </c>
      <c r="G47" s="118"/>
      <c r="H47" s="118"/>
      <c r="I47" s="118"/>
      <c r="J47" s="118"/>
      <c r="K47" s="118"/>
      <c r="L47" s="120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</row>
    <row r="48" spans="1:36" outlineLevel="1" x14ac:dyDescent="0.25">
      <c r="A48" s="114"/>
      <c r="B48" s="115"/>
      <c r="C48" s="118"/>
      <c r="D48" s="118">
        <f t="shared" si="14"/>
        <v>0</v>
      </c>
      <c r="E48" s="118"/>
      <c r="F48" s="119" t="s">
        <v>180</v>
      </c>
      <c r="G48" s="118"/>
      <c r="H48" s="118"/>
      <c r="I48" s="118"/>
      <c r="J48" s="118"/>
      <c r="K48" s="118"/>
      <c r="L48" s="118"/>
      <c r="M48" s="120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</row>
    <row r="49" spans="1:36" outlineLevel="1" x14ac:dyDescent="0.25">
      <c r="A49" s="114"/>
      <c r="B49" s="115"/>
      <c r="C49" s="118"/>
      <c r="D49" s="118">
        <f t="shared" si="14"/>
        <v>0</v>
      </c>
      <c r="E49" s="118"/>
      <c r="F49" s="119" t="s">
        <v>181</v>
      </c>
      <c r="G49" s="118"/>
      <c r="H49" s="118"/>
      <c r="I49" s="118"/>
      <c r="J49" s="118"/>
      <c r="K49" s="118"/>
      <c r="L49" s="118"/>
      <c r="M49" s="118"/>
      <c r="N49" s="120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118"/>
      <c r="AJ49" s="118"/>
    </row>
    <row r="50" spans="1:36" outlineLevel="1" x14ac:dyDescent="0.25">
      <c r="A50" s="114"/>
      <c r="B50" s="115"/>
      <c r="C50" s="118"/>
      <c r="D50" s="118">
        <f t="shared" si="14"/>
        <v>0</v>
      </c>
      <c r="E50" s="118"/>
      <c r="F50" s="119" t="s">
        <v>182</v>
      </c>
      <c r="G50" s="118"/>
      <c r="H50" s="118"/>
      <c r="I50" s="118"/>
      <c r="J50" s="118"/>
      <c r="K50" s="118"/>
      <c r="L50" s="118"/>
      <c r="M50" s="118"/>
      <c r="N50" s="118"/>
      <c r="O50" s="120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</row>
    <row r="51" spans="1:36" outlineLevel="1" x14ac:dyDescent="0.25">
      <c r="A51" s="114"/>
      <c r="B51" s="115"/>
      <c r="C51" s="118"/>
      <c r="D51" s="118">
        <f t="shared" si="14"/>
        <v>0</v>
      </c>
      <c r="E51" s="118"/>
      <c r="F51" s="119" t="s">
        <v>183</v>
      </c>
      <c r="G51" s="118"/>
      <c r="H51" s="118"/>
      <c r="I51" s="118"/>
      <c r="J51" s="118"/>
      <c r="K51" s="118"/>
      <c r="L51" s="118"/>
      <c r="M51" s="118"/>
      <c r="N51" s="118"/>
      <c r="O51" s="118"/>
      <c r="P51" s="120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I51" s="118"/>
      <c r="AJ51" s="118"/>
    </row>
    <row r="52" spans="1:36" outlineLevel="1" x14ac:dyDescent="0.25">
      <c r="A52" s="114"/>
      <c r="B52" s="115"/>
      <c r="C52" s="118"/>
      <c r="D52" s="118">
        <f t="shared" si="14"/>
        <v>0</v>
      </c>
      <c r="E52" s="118"/>
      <c r="F52" s="119" t="s">
        <v>184</v>
      </c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20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I52" s="118"/>
      <c r="AJ52" s="118"/>
    </row>
    <row r="53" spans="1:36" outlineLevel="1" x14ac:dyDescent="0.25">
      <c r="A53" s="114"/>
      <c r="B53" s="115"/>
      <c r="C53" s="118"/>
      <c r="D53" s="118">
        <f t="shared" si="14"/>
        <v>0</v>
      </c>
      <c r="E53" s="118"/>
      <c r="F53" s="119" t="s">
        <v>185</v>
      </c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20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</row>
    <row r="54" spans="1:36" outlineLevel="1" x14ac:dyDescent="0.25">
      <c r="A54" s="114"/>
      <c r="B54" s="115"/>
      <c r="C54" s="118"/>
      <c r="D54" s="118">
        <f t="shared" si="14"/>
        <v>0</v>
      </c>
      <c r="E54" s="118"/>
      <c r="F54" s="119" t="s">
        <v>186</v>
      </c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20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</row>
    <row r="55" spans="1:36" outlineLevel="1" x14ac:dyDescent="0.25">
      <c r="A55" s="114"/>
      <c r="B55" s="115"/>
      <c r="C55" s="118"/>
      <c r="D55" s="118">
        <f t="shared" si="14"/>
        <v>0</v>
      </c>
      <c r="E55" s="118"/>
      <c r="F55" s="119" t="s">
        <v>187</v>
      </c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20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</row>
    <row r="56" spans="1:36" outlineLevel="1" x14ac:dyDescent="0.25">
      <c r="A56" s="114"/>
      <c r="B56" s="115"/>
      <c r="C56" s="118"/>
      <c r="D56" s="118">
        <f t="shared" si="14"/>
        <v>0</v>
      </c>
      <c r="E56" s="118"/>
      <c r="F56" s="119" t="s">
        <v>188</v>
      </c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20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</row>
    <row r="57" spans="1:36" outlineLevel="1" x14ac:dyDescent="0.25">
      <c r="A57" s="114"/>
      <c r="B57" s="115"/>
      <c r="C57" s="118"/>
      <c r="D57" s="118">
        <f t="shared" si="14"/>
        <v>0</v>
      </c>
      <c r="E57" s="118"/>
      <c r="F57" s="119" t="s">
        <v>189</v>
      </c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20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</row>
    <row r="58" spans="1:36" outlineLevel="1" x14ac:dyDescent="0.25">
      <c r="A58" s="114"/>
      <c r="B58" s="115"/>
      <c r="C58" s="118"/>
      <c r="D58" s="118">
        <f t="shared" si="14"/>
        <v>0</v>
      </c>
      <c r="E58" s="118"/>
      <c r="F58" s="119" t="s">
        <v>190</v>
      </c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20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118"/>
      <c r="AJ58" s="118"/>
    </row>
    <row r="59" spans="1:36" outlineLevel="1" x14ac:dyDescent="0.25">
      <c r="A59" s="114"/>
      <c r="B59" s="115"/>
      <c r="C59" s="118"/>
      <c r="D59" s="118">
        <f t="shared" si="14"/>
        <v>0</v>
      </c>
      <c r="E59" s="118"/>
      <c r="F59" s="119" t="s">
        <v>191</v>
      </c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20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118"/>
    </row>
    <row r="60" spans="1:36" outlineLevel="1" x14ac:dyDescent="0.25">
      <c r="A60" s="114"/>
      <c r="B60" s="115"/>
      <c r="C60" s="118"/>
      <c r="D60" s="118">
        <f t="shared" si="14"/>
        <v>0</v>
      </c>
      <c r="E60" s="118"/>
      <c r="F60" s="119" t="s">
        <v>192</v>
      </c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20"/>
      <c r="Z60" s="118"/>
      <c r="AA60" s="118"/>
      <c r="AB60" s="118"/>
      <c r="AC60" s="118"/>
      <c r="AD60" s="118"/>
      <c r="AE60" s="118"/>
      <c r="AF60" s="118"/>
      <c r="AG60" s="118"/>
      <c r="AH60" s="118"/>
      <c r="AI60" s="118"/>
      <c r="AJ60" s="118"/>
    </row>
    <row r="61" spans="1:36" outlineLevel="1" x14ac:dyDescent="0.25">
      <c r="A61" s="114"/>
      <c r="B61" s="115"/>
      <c r="C61" s="118"/>
      <c r="D61" s="118">
        <f t="shared" si="14"/>
        <v>0</v>
      </c>
      <c r="E61" s="118"/>
      <c r="F61" s="119" t="s">
        <v>193</v>
      </c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20"/>
      <c r="AA61" s="118"/>
      <c r="AB61" s="118"/>
      <c r="AC61" s="118"/>
      <c r="AD61" s="118"/>
      <c r="AE61" s="118"/>
      <c r="AF61" s="118"/>
      <c r="AG61" s="118"/>
      <c r="AH61" s="118"/>
      <c r="AI61" s="118"/>
      <c r="AJ61" s="118"/>
    </row>
    <row r="62" spans="1:36" outlineLevel="1" x14ac:dyDescent="0.25">
      <c r="A62" s="114"/>
      <c r="B62" s="115"/>
      <c r="C62" s="118"/>
      <c r="D62" s="118">
        <f t="shared" si="14"/>
        <v>0</v>
      </c>
      <c r="E62" s="118"/>
      <c r="F62" s="119" t="s">
        <v>194</v>
      </c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20"/>
      <c r="AB62" s="118"/>
      <c r="AC62" s="118"/>
      <c r="AD62" s="118"/>
      <c r="AE62" s="118"/>
      <c r="AF62" s="118"/>
      <c r="AG62" s="118"/>
      <c r="AH62" s="118"/>
      <c r="AI62" s="118"/>
      <c r="AJ62" s="118"/>
    </row>
    <row r="63" spans="1:36" outlineLevel="1" x14ac:dyDescent="0.25">
      <c r="A63" s="114"/>
      <c r="B63" s="115"/>
      <c r="C63" s="118"/>
      <c r="D63" s="118">
        <f t="shared" si="14"/>
        <v>0</v>
      </c>
      <c r="E63" s="118"/>
      <c r="F63" s="119" t="s">
        <v>195</v>
      </c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20"/>
      <c r="AC63" s="118"/>
      <c r="AD63" s="118"/>
      <c r="AE63" s="118"/>
      <c r="AF63" s="118"/>
      <c r="AG63" s="118"/>
      <c r="AH63" s="118"/>
      <c r="AI63" s="118"/>
      <c r="AJ63" s="118"/>
    </row>
    <row r="64" spans="1:36" outlineLevel="1" x14ac:dyDescent="0.25">
      <c r="A64" s="114"/>
      <c r="B64" s="115"/>
      <c r="C64" s="118"/>
      <c r="D64" s="118">
        <f t="shared" si="14"/>
        <v>0</v>
      </c>
      <c r="E64" s="118"/>
      <c r="F64" s="119" t="s">
        <v>196</v>
      </c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0"/>
      <c r="AD64" s="118"/>
      <c r="AE64" s="118"/>
      <c r="AF64" s="118"/>
      <c r="AG64" s="118"/>
      <c r="AH64" s="118"/>
      <c r="AI64" s="118"/>
      <c r="AJ64" s="118"/>
    </row>
    <row r="65" spans="1:36" outlineLevel="1" x14ac:dyDescent="0.25">
      <c r="A65" s="114"/>
      <c r="B65" s="115"/>
      <c r="C65" s="118"/>
      <c r="D65" s="118">
        <f t="shared" si="14"/>
        <v>0</v>
      </c>
      <c r="E65" s="118"/>
      <c r="F65" s="119" t="s">
        <v>197</v>
      </c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18"/>
      <c r="AD65" s="120"/>
      <c r="AE65" s="118"/>
      <c r="AF65" s="118"/>
      <c r="AG65" s="118"/>
      <c r="AH65" s="118"/>
      <c r="AI65" s="118"/>
      <c r="AJ65" s="118"/>
    </row>
    <row r="66" spans="1:36" outlineLevel="1" x14ac:dyDescent="0.25">
      <c r="A66" s="114"/>
      <c r="B66" s="115"/>
      <c r="C66" s="118"/>
      <c r="D66" s="118">
        <f t="shared" si="14"/>
        <v>0</v>
      </c>
      <c r="E66" s="118"/>
      <c r="F66" s="119" t="s">
        <v>198</v>
      </c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18"/>
      <c r="AD66" s="118"/>
      <c r="AE66" s="120"/>
      <c r="AF66" s="118"/>
      <c r="AG66" s="118"/>
      <c r="AH66" s="118"/>
      <c r="AI66" s="118"/>
      <c r="AJ66" s="118"/>
    </row>
    <row r="67" spans="1:36" outlineLevel="1" x14ac:dyDescent="0.25">
      <c r="A67" s="114"/>
      <c r="B67" s="115"/>
      <c r="C67" s="118"/>
      <c r="D67" s="118">
        <f t="shared" si="14"/>
        <v>0</v>
      </c>
      <c r="E67" s="118"/>
      <c r="F67" s="119" t="s">
        <v>199</v>
      </c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18"/>
      <c r="AD67" s="118"/>
      <c r="AE67" s="118"/>
      <c r="AF67" s="120"/>
      <c r="AG67" s="118"/>
      <c r="AH67" s="118"/>
      <c r="AI67" s="118"/>
      <c r="AJ67" s="118"/>
    </row>
    <row r="68" spans="1:36" outlineLevel="1" x14ac:dyDescent="0.25">
      <c r="A68" s="114"/>
      <c r="B68" s="115"/>
      <c r="C68" s="118"/>
      <c r="D68" s="118">
        <f t="shared" si="14"/>
        <v>0</v>
      </c>
      <c r="E68" s="118"/>
      <c r="F68" s="119" t="s">
        <v>200</v>
      </c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20"/>
      <c r="AH68" s="118"/>
      <c r="AI68" s="118"/>
      <c r="AJ68" s="118"/>
    </row>
    <row r="69" spans="1:36" outlineLevel="1" x14ac:dyDescent="0.25">
      <c r="A69" s="114"/>
      <c r="B69" s="115"/>
      <c r="C69" s="118"/>
      <c r="D69" s="118">
        <f t="shared" si="14"/>
        <v>0</v>
      </c>
      <c r="E69" s="118"/>
      <c r="F69" s="119" t="s">
        <v>201</v>
      </c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20"/>
      <c r="AI69" s="118"/>
      <c r="AJ69" s="118"/>
    </row>
    <row r="70" spans="1:36" outlineLevel="1" x14ac:dyDescent="0.25">
      <c r="A70" s="114"/>
      <c r="B70" s="115"/>
      <c r="C70" s="118"/>
      <c r="D70" s="118">
        <f t="shared" si="14"/>
        <v>0</v>
      </c>
      <c r="E70" s="118"/>
      <c r="F70" s="119" t="s">
        <v>202</v>
      </c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120"/>
      <c r="AJ70" s="118"/>
    </row>
    <row r="71" spans="1:36" outlineLevel="1" x14ac:dyDescent="0.25">
      <c r="A71" s="114"/>
      <c r="B71" s="115"/>
      <c r="C71" s="118"/>
      <c r="D71" s="118">
        <f t="shared" si="14"/>
        <v>0</v>
      </c>
      <c r="E71" s="118"/>
      <c r="F71" s="119" t="s">
        <v>203</v>
      </c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20"/>
    </row>
    <row r="72" spans="1:36" outlineLevel="1" x14ac:dyDescent="0.25">
      <c r="A72" s="114"/>
      <c r="B72" s="115"/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  <c r="Z72" s="121"/>
      <c r="AA72" s="121"/>
      <c r="AB72" s="121"/>
      <c r="AC72" s="121"/>
      <c r="AD72" s="121"/>
      <c r="AE72" s="121"/>
      <c r="AF72" s="121"/>
      <c r="AG72" s="121"/>
      <c r="AH72" s="121"/>
      <c r="AI72" s="121"/>
      <c r="AJ72" s="121"/>
    </row>
    <row r="73" spans="1:36" outlineLevel="1" x14ac:dyDescent="0.25">
      <c r="A73" s="114"/>
      <c r="B73" s="99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  <c r="AC73" s="122"/>
      <c r="AD73" s="122"/>
      <c r="AE73" s="122"/>
      <c r="AF73" s="122"/>
      <c r="AG73" s="122"/>
      <c r="AH73" s="122"/>
      <c r="AI73" s="122"/>
      <c r="AJ73" s="122"/>
    </row>
    <row r="74" spans="1:36" outlineLevel="1" x14ac:dyDescent="0.25">
      <c r="A74" s="114"/>
      <c r="B74" s="99"/>
      <c r="C74" s="122"/>
      <c r="D74" s="122"/>
      <c r="E74" s="122"/>
      <c r="F74" s="122"/>
      <c r="G74" s="122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2"/>
      <c r="AE74" s="122"/>
      <c r="AF74" s="122"/>
      <c r="AG74" s="122"/>
      <c r="AH74" s="122"/>
      <c r="AI74" s="122"/>
      <c r="AJ74" s="122"/>
    </row>
    <row r="75" spans="1:36" outlineLevel="1" x14ac:dyDescent="0.25">
      <c r="A75" s="1"/>
      <c r="B75" s="115" t="s">
        <v>204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115"/>
      <c r="AJ75" s="115"/>
    </row>
    <row r="76" spans="1:36" outlineLevel="1" x14ac:dyDescent="0.25">
      <c r="A76" s="1"/>
      <c r="B76" s="115"/>
      <c r="C76" s="116"/>
      <c r="D76" s="117" t="s">
        <v>173</v>
      </c>
      <c r="E76" s="116"/>
      <c r="F76" s="116"/>
      <c r="G76" s="117">
        <v>1</v>
      </c>
      <c r="H76" s="117">
        <f>G76+1</f>
        <v>2</v>
      </c>
      <c r="I76" s="117">
        <f t="shared" ref="I76:AJ76" si="15">H76+1</f>
        <v>3</v>
      </c>
      <c r="J76" s="117">
        <f t="shared" si="15"/>
        <v>4</v>
      </c>
      <c r="K76" s="117">
        <f t="shared" si="15"/>
        <v>5</v>
      </c>
      <c r="L76" s="117">
        <f t="shared" si="15"/>
        <v>6</v>
      </c>
      <c r="M76" s="117">
        <f t="shared" si="15"/>
        <v>7</v>
      </c>
      <c r="N76" s="117">
        <f t="shared" si="15"/>
        <v>8</v>
      </c>
      <c r="O76" s="117">
        <f t="shared" si="15"/>
        <v>9</v>
      </c>
      <c r="P76" s="117">
        <f t="shared" si="15"/>
        <v>10</v>
      </c>
      <c r="Q76" s="117">
        <f t="shared" si="15"/>
        <v>11</v>
      </c>
      <c r="R76" s="117">
        <f t="shared" si="15"/>
        <v>12</v>
      </c>
      <c r="S76" s="117">
        <f t="shared" si="15"/>
        <v>13</v>
      </c>
      <c r="T76" s="117">
        <f t="shared" si="15"/>
        <v>14</v>
      </c>
      <c r="U76" s="117">
        <f t="shared" si="15"/>
        <v>15</v>
      </c>
      <c r="V76" s="117">
        <f t="shared" si="15"/>
        <v>16</v>
      </c>
      <c r="W76" s="117">
        <f t="shared" si="15"/>
        <v>17</v>
      </c>
      <c r="X76" s="117">
        <f t="shared" si="15"/>
        <v>18</v>
      </c>
      <c r="Y76" s="117">
        <f t="shared" si="15"/>
        <v>19</v>
      </c>
      <c r="Z76" s="117">
        <f t="shared" si="15"/>
        <v>20</v>
      </c>
      <c r="AA76" s="117">
        <f t="shared" si="15"/>
        <v>21</v>
      </c>
      <c r="AB76" s="117">
        <f t="shared" si="15"/>
        <v>22</v>
      </c>
      <c r="AC76" s="117">
        <f t="shared" si="15"/>
        <v>23</v>
      </c>
      <c r="AD76" s="117">
        <f t="shared" si="15"/>
        <v>24</v>
      </c>
      <c r="AE76" s="117">
        <f t="shared" si="15"/>
        <v>25</v>
      </c>
      <c r="AF76" s="117">
        <f t="shared" si="15"/>
        <v>26</v>
      </c>
      <c r="AG76" s="117">
        <f t="shared" si="15"/>
        <v>27</v>
      </c>
      <c r="AH76" s="117">
        <f t="shared" si="15"/>
        <v>28</v>
      </c>
      <c r="AI76" s="117">
        <f t="shared" si="15"/>
        <v>29</v>
      </c>
      <c r="AJ76" s="117">
        <f t="shared" si="15"/>
        <v>30</v>
      </c>
    </row>
    <row r="77" spans="1:36" outlineLevel="1" x14ac:dyDescent="0.25">
      <c r="A77" s="1"/>
      <c r="B77" s="115"/>
      <c r="C77" s="118"/>
      <c r="D77" s="118">
        <f>SUM(G77:AJ77)</f>
        <v>0</v>
      </c>
      <c r="E77" s="118"/>
      <c r="F77" s="118"/>
      <c r="G77" s="118">
        <f t="shared" ref="G77:AJ77" si="16">SUM(G78:G107)</f>
        <v>0</v>
      </c>
      <c r="H77" s="118">
        <f t="shared" si="16"/>
        <v>0</v>
      </c>
      <c r="I77" s="118">
        <f t="shared" si="16"/>
        <v>0</v>
      </c>
      <c r="J77" s="118">
        <f t="shared" si="16"/>
        <v>0</v>
      </c>
      <c r="K77" s="118">
        <f t="shared" si="16"/>
        <v>0</v>
      </c>
      <c r="L77" s="118">
        <f t="shared" si="16"/>
        <v>0</v>
      </c>
      <c r="M77" s="118">
        <f t="shared" si="16"/>
        <v>0</v>
      </c>
      <c r="N77" s="118">
        <f t="shared" si="16"/>
        <v>0</v>
      </c>
      <c r="O77" s="118">
        <f t="shared" si="16"/>
        <v>0</v>
      </c>
      <c r="P77" s="118">
        <f t="shared" si="16"/>
        <v>0</v>
      </c>
      <c r="Q77" s="118">
        <f t="shared" si="16"/>
        <v>0</v>
      </c>
      <c r="R77" s="118">
        <f t="shared" si="16"/>
        <v>0</v>
      </c>
      <c r="S77" s="118">
        <f t="shared" si="16"/>
        <v>0</v>
      </c>
      <c r="T77" s="118">
        <f t="shared" si="16"/>
        <v>0</v>
      </c>
      <c r="U77" s="118">
        <f t="shared" si="16"/>
        <v>0</v>
      </c>
      <c r="V77" s="118">
        <f t="shared" si="16"/>
        <v>0</v>
      </c>
      <c r="W77" s="118">
        <f t="shared" si="16"/>
        <v>0</v>
      </c>
      <c r="X77" s="118">
        <f t="shared" si="16"/>
        <v>0</v>
      </c>
      <c r="Y77" s="118">
        <f t="shared" si="16"/>
        <v>0</v>
      </c>
      <c r="Z77" s="118">
        <f t="shared" si="16"/>
        <v>0</v>
      </c>
      <c r="AA77" s="118">
        <f t="shared" si="16"/>
        <v>0</v>
      </c>
      <c r="AB77" s="118">
        <f t="shared" si="16"/>
        <v>0</v>
      </c>
      <c r="AC77" s="118">
        <f t="shared" si="16"/>
        <v>0</v>
      </c>
      <c r="AD77" s="118">
        <f t="shared" si="16"/>
        <v>0</v>
      </c>
      <c r="AE77" s="118">
        <f t="shared" si="16"/>
        <v>0</v>
      </c>
      <c r="AF77" s="118">
        <f t="shared" si="16"/>
        <v>0</v>
      </c>
      <c r="AG77" s="118">
        <f t="shared" si="16"/>
        <v>0</v>
      </c>
      <c r="AH77" s="118">
        <f t="shared" si="16"/>
        <v>0</v>
      </c>
      <c r="AI77" s="118">
        <f t="shared" si="16"/>
        <v>0</v>
      </c>
      <c r="AJ77" s="118">
        <f t="shared" si="16"/>
        <v>0</v>
      </c>
    </row>
    <row r="78" spans="1:36" outlineLevel="1" x14ac:dyDescent="0.25">
      <c r="A78" s="1"/>
      <c r="B78" s="115"/>
      <c r="C78" s="118"/>
      <c r="D78" s="118">
        <f>SUM(G78:AJ78)</f>
        <v>0</v>
      </c>
      <c r="E78" s="118"/>
      <c r="F78" s="119" t="s">
        <v>174</v>
      </c>
      <c r="G78" s="120">
        <f>IF(G76&lt;=IN!$C$47,(IN!$K$57/IN!$C$47),0)</f>
        <v>0</v>
      </c>
      <c r="H78" s="118">
        <f>IF(H76&lt;=IN!$C$47,(IN!$K$57/IN!$C$47),0)</f>
        <v>0</v>
      </c>
      <c r="I78" s="118">
        <f>IF(I76&lt;=IN!$C$47,(IN!$K$57/IN!$C$47),0)</f>
        <v>0</v>
      </c>
      <c r="J78" s="118">
        <f>IF(J76&lt;=IN!$C$47,(IN!$K$57/IN!$C$47),0)</f>
        <v>0</v>
      </c>
      <c r="K78" s="118">
        <f>IF(K76&lt;=IN!$C$47,(IN!$K$57/IN!$C$47),0)</f>
        <v>0</v>
      </c>
      <c r="L78" s="118">
        <f>IF(L76&lt;=IN!$C$47,(IN!$K$57/IN!$C$47),0)</f>
        <v>0</v>
      </c>
      <c r="M78" s="118">
        <f>IF(M76&lt;=IN!$C$47,(IN!$K$57/IN!$C$47),0)</f>
        <v>0</v>
      </c>
      <c r="N78" s="118">
        <f>IF(N76&lt;=IN!$C$47,(IN!$K$57/IN!$C$47),0)</f>
        <v>0</v>
      </c>
      <c r="O78" s="118">
        <f>IF(O76&lt;=IN!$C$47,(IN!$K$57/IN!$C$47),0)</f>
        <v>0</v>
      </c>
      <c r="P78" s="118">
        <f>IF(P76&lt;=IN!$C$47,(IN!$K$57/IN!$C$47),0)</f>
        <v>0</v>
      </c>
      <c r="Q78" s="118">
        <f>IF(Q76&lt;=IN!$C$47,(IN!$K$57/IN!$C$47),0)</f>
        <v>0</v>
      </c>
      <c r="R78" s="118">
        <f>IF(R76&lt;=IN!$C$47,(IN!$K$57/IN!$C$47),0)</f>
        <v>0</v>
      </c>
      <c r="S78" s="118">
        <f>IF(S76&lt;=IN!$C$47,(IN!$K$57/IN!$C$47),0)</f>
        <v>0</v>
      </c>
      <c r="T78" s="118">
        <f>IF(T76&lt;=IN!$C$47,(IN!$K$57/IN!$C$47),0)</f>
        <v>0</v>
      </c>
      <c r="U78" s="118">
        <f>IF(U76&lt;=IN!$C$47,(IN!$K$57/IN!$C$47),0)</f>
        <v>0</v>
      </c>
      <c r="V78" s="118">
        <f>IF(V76&lt;=IN!$C$47,(IN!$K$57/IN!$C$47),0)</f>
        <v>0</v>
      </c>
      <c r="W78" s="118">
        <f>IF(W76&lt;=IN!$C$47,(IN!$K$57/IN!$C$47),0)</f>
        <v>0</v>
      </c>
      <c r="X78" s="118">
        <f>IF(X76&lt;=IN!$C$47,(IN!$K$57/IN!$C$47),0)</f>
        <v>0</v>
      </c>
      <c r="Y78" s="118">
        <f>IF(Y76&lt;=IN!$C$47,(IN!$K$57/IN!$C$47),0)</f>
        <v>0</v>
      </c>
      <c r="Z78" s="118">
        <f>IF(Z76&lt;=IN!$C$47,(IN!$K$57/IN!$C$47),0)</f>
        <v>0</v>
      </c>
      <c r="AA78" s="118">
        <f>IF(AA76&lt;=IN!$C$47,(IN!$K$57/IN!$C$47),0)</f>
        <v>0</v>
      </c>
      <c r="AB78" s="118">
        <f>IF(AB76&lt;=IN!$C$47,(IN!$K$57/IN!$C$47),0)</f>
        <v>0</v>
      </c>
      <c r="AC78" s="118">
        <f>IF(AC76&lt;=IN!$C$47,(IN!$K$57/IN!$C$47),0)</f>
        <v>0</v>
      </c>
      <c r="AD78" s="118">
        <f>IF(AD76&lt;=IN!$C$47,(IN!$K$57/IN!$C$47),0)</f>
        <v>0</v>
      </c>
      <c r="AE78" s="118">
        <f>IF(AE76&lt;=IN!$C$47,(IN!$K$57/IN!$C$47),0)</f>
        <v>0</v>
      </c>
      <c r="AF78" s="118">
        <f>IF(AF76&lt;=IN!$C$47,(IN!$K$57/IN!$C$47),0)</f>
        <v>0</v>
      </c>
      <c r="AG78" s="118">
        <f>IF(AG76&lt;=IN!$C$47,(IN!$K$57/IN!$C$47),0)</f>
        <v>0</v>
      </c>
      <c r="AH78" s="118">
        <f>IF(AH76&lt;=IN!$C$47,(IN!$K$57/IN!$C$47),0)</f>
        <v>0</v>
      </c>
      <c r="AI78" s="118">
        <f>IF(AI76&lt;=IN!$C$47,(IN!$K$57/IN!$C$47),0)</f>
        <v>0</v>
      </c>
      <c r="AJ78" s="118">
        <f>IF(AJ76&lt;=IN!$C$47,(IN!$K$57/IN!$C$47),0)</f>
        <v>0</v>
      </c>
    </row>
    <row r="79" spans="1:36" outlineLevel="1" x14ac:dyDescent="0.25">
      <c r="A79" s="1"/>
      <c r="B79" s="115"/>
      <c r="C79" s="118"/>
      <c r="D79" s="118">
        <f t="shared" ref="D79:D107" si="17">SUM(G79:AJ79)</f>
        <v>0</v>
      </c>
      <c r="E79" s="118"/>
      <c r="F79" s="119" t="s">
        <v>175</v>
      </c>
      <c r="G79" s="118"/>
      <c r="H79" s="120">
        <f>IF(H76&lt;=IN!$C$47,(IN!$K$58/(IN!$C$47-1)),0)</f>
        <v>0</v>
      </c>
      <c r="I79" s="118">
        <f>IF(I76&lt;=IN!$C$47,(IN!$K$58/(IN!$C$47-1)),0)</f>
        <v>0</v>
      </c>
      <c r="J79" s="118">
        <f>IF(J76&lt;=IN!$C$47,(IN!$K$58/(IN!$C$47-1)),0)</f>
        <v>0</v>
      </c>
      <c r="K79" s="118">
        <f>IF(K76&lt;=IN!$C$47,(IN!$K$58/(IN!$C$47-1)),0)</f>
        <v>0</v>
      </c>
      <c r="L79" s="118">
        <f>IF(L76&lt;=IN!$C$47,(IN!$K$58/(IN!$C$47-1)),0)</f>
        <v>0</v>
      </c>
      <c r="M79" s="118">
        <f>IF(M76&lt;=IN!$C$47,(IN!$K$58/(IN!$C$47-1)),0)</f>
        <v>0</v>
      </c>
      <c r="N79" s="118">
        <f>IF(N76&lt;=IN!$C$47,(IN!$K$58/(IN!$C$47-1)),0)</f>
        <v>0</v>
      </c>
      <c r="O79" s="118">
        <f>IF(O76&lt;=IN!$C$47,(IN!$K$58/(IN!$C$47-1)),0)</f>
        <v>0</v>
      </c>
      <c r="P79" s="118">
        <f>IF(P76&lt;=IN!$C$47,(IN!$K$58/(IN!$C$47-1)),0)</f>
        <v>0</v>
      </c>
      <c r="Q79" s="118">
        <f>IF(Q76&lt;=IN!$C$47,(IN!$K$58/(IN!$C$47-1)),0)</f>
        <v>0</v>
      </c>
      <c r="R79" s="118">
        <f>IF(R76&lt;=IN!$C$47,(IN!$K$58/(IN!$C$47-1)),0)</f>
        <v>0</v>
      </c>
      <c r="S79" s="118">
        <f>IF(S76&lt;=IN!$C$47,(IN!$K$58/(IN!$C$47-1)),0)</f>
        <v>0</v>
      </c>
      <c r="T79" s="118">
        <f>IF(T76&lt;=IN!$C$47,(IN!$K$58/(IN!$C$47-1)),0)</f>
        <v>0</v>
      </c>
      <c r="U79" s="118">
        <f>IF(U76&lt;=IN!$C$47,(IN!$K$58/(IN!$C$47-1)),0)</f>
        <v>0</v>
      </c>
      <c r="V79" s="118">
        <f>IF(V76&lt;=IN!$C$47,(IN!$K$58/(IN!$C$47-1)),0)</f>
        <v>0</v>
      </c>
      <c r="W79" s="118">
        <f>IF(W76&lt;=IN!$C$47,(IN!$K$58/(IN!$C$47-1)),0)</f>
        <v>0</v>
      </c>
      <c r="X79" s="118">
        <f>IF(X76&lt;=IN!$C$47,(IN!$K$58/(IN!$C$47-1)),0)</f>
        <v>0</v>
      </c>
      <c r="Y79" s="118">
        <f>IF(Y76&lt;=IN!$C$47,(IN!$K$58/(IN!$C$47-1)),0)</f>
        <v>0</v>
      </c>
      <c r="Z79" s="118">
        <f>IF(Z76&lt;=IN!$C$47,(IN!$K$58/(IN!$C$47-1)),0)</f>
        <v>0</v>
      </c>
      <c r="AA79" s="118">
        <f>IF(AA76&lt;=IN!$C$47,(IN!$K$58/(IN!$C$47-1)),0)</f>
        <v>0</v>
      </c>
      <c r="AB79" s="118">
        <f>IF(AB76&lt;=IN!$C$47,(IN!$K$58/(IN!$C$47-1)),0)</f>
        <v>0</v>
      </c>
      <c r="AC79" s="118">
        <f>IF(AC76&lt;=IN!$C$47,(IN!$K$58/(IN!$C$47-1)),0)</f>
        <v>0</v>
      </c>
      <c r="AD79" s="118">
        <f>IF(AD76&lt;=IN!$C$47,(IN!$K$58/(IN!$C$47-1)),0)</f>
        <v>0</v>
      </c>
      <c r="AE79" s="118">
        <f>IF(AE76&lt;=IN!$C$47,(IN!$K$58/(IN!$C$47-1)),0)</f>
        <v>0</v>
      </c>
      <c r="AF79" s="118">
        <f>IF(AF76&lt;=IN!$C$47,(IN!$K$58/(IN!$C$47-1)),0)</f>
        <v>0</v>
      </c>
      <c r="AG79" s="118">
        <f>IF(AG76&lt;=IN!$C$47,(IN!$K$58/(IN!$C$47-1)),0)</f>
        <v>0</v>
      </c>
      <c r="AH79" s="118">
        <f>IF(AH76&lt;=IN!$C$47,(IN!$K$58/(IN!$C$47-1)),0)</f>
        <v>0</v>
      </c>
      <c r="AI79" s="118">
        <f>IF(AI76&lt;=IN!$C$47,(IN!$K$58/(IN!$C$47-1)),0)</f>
        <v>0</v>
      </c>
      <c r="AJ79" s="118">
        <f>IF(AJ76&lt;=IN!$C$47,(IN!$K$58/(IN!$C$47-1)),0)</f>
        <v>0</v>
      </c>
    </row>
    <row r="80" spans="1:36" outlineLevel="1" x14ac:dyDescent="0.25">
      <c r="A80" s="1"/>
      <c r="B80" s="115"/>
      <c r="C80" s="118"/>
      <c r="D80" s="118">
        <f t="shared" si="17"/>
        <v>0</v>
      </c>
      <c r="E80" s="118"/>
      <c r="F80" s="119" t="s">
        <v>176</v>
      </c>
      <c r="G80" s="118"/>
      <c r="H80" s="118"/>
      <c r="I80" s="120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118"/>
      <c r="AF80" s="118"/>
      <c r="AG80" s="118"/>
      <c r="AH80" s="118"/>
      <c r="AI80" s="118"/>
      <c r="AJ80" s="118"/>
    </row>
    <row r="81" spans="1:36" outlineLevel="1" x14ac:dyDescent="0.25">
      <c r="A81" s="1"/>
      <c r="B81" s="115"/>
      <c r="C81" s="118"/>
      <c r="D81" s="118">
        <f t="shared" si="17"/>
        <v>0</v>
      </c>
      <c r="E81" s="118"/>
      <c r="F81" s="119" t="s">
        <v>177</v>
      </c>
      <c r="G81" s="118"/>
      <c r="H81" s="118"/>
      <c r="I81" s="118"/>
      <c r="J81" s="120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</row>
    <row r="82" spans="1:36" outlineLevel="1" x14ac:dyDescent="0.25">
      <c r="A82" s="1"/>
      <c r="B82" s="115"/>
      <c r="C82" s="118"/>
      <c r="D82" s="118">
        <f t="shared" si="17"/>
        <v>0</v>
      </c>
      <c r="E82" s="118"/>
      <c r="F82" s="119" t="s">
        <v>178</v>
      </c>
      <c r="G82" s="118"/>
      <c r="H82" s="118"/>
      <c r="I82" s="118"/>
      <c r="J82" s="118"/>
      <c r="K82" s="120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/>
      <c r="AC82" s="118"/>
      <c r="AD82" s="118"/>
      <c r="AE82" s="118"/>
      <c r="AF82" s="118"/>
      <c r="AG82" s="118"/>
      <c r="AH82" s="118"/>
      <c r="AI82" s="118"/>
      <c r="AJ82" s="118"/>
    </row>
    <row r="83" spans="1:36" outlineLevel="1" x14ac:dyDescent="0.25">
      <c r="A83" s="114"/>
      <c r="B83" s="115"/>
      <c r="C83" s="118"/>
      <c r="D83" s="118">
        <f t="shared" si="17"/>
        <v>0</v>
      </c>
      <c r="E83" s="118"/>
      <c r="F83" s="119" t="s">
        <v>179</v>
      </c>
      <c r="G83" s="118"/>
      <c r="H83" s="118"/>
      <c r="I83" s="118"/>
      <c r="J83" s="118"/>
      <c r="K83" s="118"/>
      <c r="L83" s="120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118"/>
    </row>
    <row r="84" spans="1:36" outlineLevel="1" x14ac:dyDescent="0.25">
      <c r="A84" s="114"/>
      <c r="B84" s="115"/>
      <c r="C84" s="118"/>
      <c r="D84" s="118">
        <f t="shared" si="17"/>
        <v>0</v>
      </c>
      <c r="E84" s="118"/>
      <c r="F84" s="119" t="s">
        <v>180</v>
      </c>
      <c r="G84" s="118"/>
      <c r="H84" s="118"/>
      <c r="I84" s="118"/>
      <c r="J84" s="118"/>
      <c r="K84" s="118"/>
      <c r="L84" s="118"/>
      <c r="M84" s="120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118"/>
    </row>
    <row r="85" spans="1:36" outlineLevel="1" x14ac:dyDescent="0.25">
      <c r="A85" s="114"/>
      <c r="B85" s="115"/>
      <c r="C85" s="118"/>
      <c r="D85" s="118">
        <f t="shared" si="17"/>
        <v>0</v>
      </c>
      <c r="E85" s="118"/>
      <c r="F85" s="119" t="s">
        <v>181</v>
      </c>
      <c r="G85" s="118"/>
      <c r="H85" s="118"/>
      <c r="I85" s="118"/>
      <c r="J85" s="118"/>
      <c r="K85" s="118"/>
      <c r="L85" s="118"/>
      <c r="M85" s="118"/>
      <c r="N85" s="120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  <c r="AA85" s="118"/>
      <c r="AB85" s="118"/>
      <c r="AC85" s="118"/>
      <c r="AD85" s="118"/>
      <c r="AE85" s="118"/>
      <c r="AF85" s="118"/>
      <c r="AG85" s="118"/>
      <c r="AH85" s="118"/>
      <c r="AI85" s="118"/>
      <c r="AJ85" s="118"/>
    </row>
    <row r="86" spans="1:36" outlineLevel="1" x14ac:dyDescent="0.25">
      <c r="A86" s="114"/>
      <c r="B86" s="115"/>
      <c r="C86" s="118"/>
      <c r="D86" s="118">
        <f t="shared" si="17"/>
        <v>0</v>
      </c>
      <c r="E86" s="118"/>
      <c r="F86" s="119" t="s">
        <v>182</v>
      </c>
      <c r="G86" s="118"/>
      <c r="H86" s="118"/>
      <c r="I86" s="118"/>
      <c r="J86" s="118"/>
      <c r="K86" s="118"/>
      <c r="L86" s="118"/>
      <c r="M86" s="118"/>
      <c r="N86" s="118"/>
      <c r="O86" s="120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  <c r="AA86" s="118"/>
      <c r="AB86" s="118"/>
      <c r="AC86" s="118"/>
      <c r="AD86" s="118"/>
      <c r="AE86" s="118"/>
      <c r="AF86" s="118"/>
      <c r="AG86" s="118"/>
      <c r="AH86" s="118"/>
      <c r="AI86" s="118"/>
      <c r="AJ86" s="118"/>
    </row>
    <row r="87" spans="1:36" outlineLevel="1" x14ac:dyDescent="0.25">
      <c r="A87" s="114"/>
      <c r="B87" s="115"/>
      <c r="C87" s="118"/>
      <c r="D87" s="118">
        <f t="shared" si="17"/>
        <v>0</v>
      </c>
      <c r="E87" s="118"/>
      <c r="F87" s="119" t="s">
        <v>183</v>
      </c>
      <c r="G87" s="118"/>
      <c r="H87" s="118"/>
      <c r="I87" s="118"/>
      <c r="J87" s="118"/>
      <c r="K87" s="118"/>
      <c r="L87" s="118"/>
      <c r="M87" s="118"/>
      <c r="N87" s="118"/>
      <c r="O87" s="118"/>
      <c r="P87" s="120"/>
      <c r="Q87" s="118"/>
      <c r="R87" s="118"/>
      <c r="S87" s="118"/>
      <c r="T87" s="118"/>
      <c r="U87" s="118"/>
      <c r="V87" s="118"/>
      <c r="W87" s="118"/>
      <c r="X87" s="118"/>
      <c r="Y87" s="118"/>
      <c r="Z87" s="118"/>
      <c r="AA87" s="118"/>
      <c r="AB87" s="118"/>
      <c r="AC87" s="118"/>
      <c r="AD87" s="118"/>
      <c r="AE87" s="118"/>
      <c r="AF87" s="118"/>
      <c r="AG87" s="118"/>
      <c r="AH87" s="118"/>
      <c r="AI87" s="118"/>
      <c r="AJ87" s="118"/>
    </row>
    <row r="88" spans="1:36" outlineLevel="1" x14ac:dyDescent="0.25">
      <c r="A88" s="114"/>
      <c r="B88" s="115"/>
      <c r="C88" s="118"/>
      <c r="D88" s="118">
        <f t="shared" si="17"/>
        <v>0</v>
      </c>
      <c r="E88" s="118"/>
      <c r="F88" s="119" t="s">
        <v>184</v>
      </c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20"/>
      <c r="R88" s="118"/>
      <c r="S88" s="118"/>
      <c r="T88" s="118"/>
      <c r="U88" s="118"/>
      <c r="V88" s="118"/>
      <c r="W88" s="118"/>
      <c r="X88" s="118"/>
      <c r="Y88" s="118"/>
      <c r="Z88" s="118"/>
      <c r="AA88" s="118"/>
      <c r="AB88" s="118"/>
      <c r="AC88" s="118"/>
      <c r="AD88" s="118"/>
      <c r="AE88" s="118"/>
      <c r="AF88" s="118"/>
      <c r="AG88" s="118"/>
      <c r="AH88" s="118"/>
      <c r="AI88" s="118"/>
      <c r="AJ88" s="118"/>
    </row>
    <row r="89" spans="1:36" outlineLevel="1" x14ac:dyDescent="0.25">
      <c r="A89" s="114"/>
      <c r="B89" s="115"/>
      <c r="C89" s="118"/>
      <c r="D89" s="118">
        <f t="shared" si="17"/>
        <v>0</v>
      </c>
      <c r="E89" s="118"/>
      <c r="F89" s="119" t="s">
        <v>185</v>
      </c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20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18"/>
      <c r="AD89" s="118"/>
      <c r="AE89" s="118"/>
      <c r="AF89" s="118"/>
      <c r="AG89" s="118"/>
      <c r="AH89" s="118"/>
      <c r="AI89" s="118"/>
      <c r="AJ89" s="118"/>
    </row>
    <row r="90" spans="1:36" outlineLevel="1" x14ac:dyDescent="0.25">
      <c r="A90" s="114"/>
      <c r="B90" s="115"/>
      <c r="C90" s="118"/>
      <c r="D90" s="118">
        <f t="shared" si="17"/>
        <v>0</v>
      </c>
      <c r="E90" s="118"/>
      <c r="F90" s="119" t="s">
        <v>186</v>
      </c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20"/>
      <c r="T90" s="118"/>
      <c r="U90" s="118"/>
      <c r="V90" s="118"/>
      <c r="W90" s="118"/>
      <c r="X90" s="118"/>
      <c r="Y90" s="118"/>
      <c r="Z90" s="118"/>
      <c r="AA90" s="118"/>
      <c r="AB90" s="118"/>
      <c r="AC90" s="118"/>
      <c r="AD90" s="118"/>
      <c r="AE90" s="118"/>
      <c r="AF90" s="118"/>
      <c r="AG90" s="118"/>
      <c r="AH90" s="118"/>
      <c r="AI90" s="118"/>
      <c r="AJ90" s="118"/>
    </row>
    <row r="91" spans="1:36" outlineLevel="1" x14ac:dyDescent="0.25">
      <c r="A91" s="114"/>
      <c r="B91" s="115"/>
      <c r="C91" s="118"/>
      <c r="D91" s="118">
        <f t="shared" si="17"/>
        <v>0</v>
      </c>
      <c r="E91" s="118"/>
      <c r="F91" s="119" t="s">
        <v>187</v>
      </c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20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118"/>
      <c r="AJ91" s="118"/>
    </row>
    <row r="92" spans="1:36" outlineLevel="1" x14ac:dyDescent="0.25">
      <c r="A92" s="114"/>
      <c r="B92" s="115"/>
      <c r="C92" s="118"/>
      <c r="D92" s="118">
        <f t="shared" si="17"/>
        <v>0</v>
      </c>
      <c r="E92" s="118"/>
      <c r="F92" s="119" t="s">
        <v>188</v>
      </c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20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118"/>
      <c r="AJ92" s="118"/>
    </row>
    <row r="93" spans="1:36" outlineLevel="1" x14ac:dyDescent="0.25">
      <c r="A93" s="114"/>
      <c r="B93" s="115"/>
      <c r="C93" s="118"/>
      <c r="D93" s="118">
        <f t="shared" si="17"/>
        <v>0</v>
      </c>
      <c r="E93" s="118"/>
      <c r="F93" s="119" t="s">
        <v>189</v>
      </c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20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118"/>
      <c r="AJ93" s="118"/>
    </row>
    <row r="94" spans="1:36" outlineLevel="1" x14ac:dyDescent="0.25">
      <c r="A94" s="114"/>
      <c r="B94" s="115"/>
      <c r="C94" s="118"/>
      <c r="D94" s="118">
        <f t="shared" si="17"/>
        <v>0</v>
      </c>
      <c r="E94" s="118"/>
      <c r="F94" s="119" t="s">
        <v>190</v>
      </c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20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118"/>
      <c r="AJ94" s="118"/>
    </row>
    <row r="95" spans="1:36" outlineLevel="1" x14ac:dyDescent="0.25">
      <c r="A95" s="114"/>
      <c r="B95" s="115"/>
      <c r="C95" s="118"/>
      <c r="D95" s="118">
        <f t="shared" si="17"/>
        <v>0</v>
      </c>
      <c r="E95" s="118"/>
      <c r="F95" s="119" t="s">
        <v>191</v>
      </c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20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118"/>
      <c r="AJ95" s="118"/>
    </row>
    <row r="96" spans="1:36" outlineLevel="1" x14ac:dyDescent="0.25">
      <c r="A96" s="114"/>
      <c r="B96" s="115"/>
      <c r="C96" s="118"/>
      <c r="D96" s="118">
        <f t="shared" si="17"/>
        <v>0</v>
      </c>
      <c r="E96" s="118"/>
      <c r="F96" s="119" t="s">
        <v>192</v>
      </c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20"/>
      <c r="Z96" s="118"/>
      <c r="AA96" s="118"/>
      <c r="AB96" s="118"/>
      <c r="AC96" s="118"/>
      <c r="AD96" s="118"/>
      <c r="AE96" s="118"/>
      <c r="AF96" s="118"/>
      <c r="AG96" s="118"/>
      <c r="AH96" s="118"/>
      <c r="AI96" s="118"/>
      <c r="AJ96" s="118"/>
    </row>
    <row r="97" spans="1:36" outlineLevel="1" x14ac:dyDescent="0.25">
      <c r="A97" s="114"/>
      <c r="B97" s="115"/>
      <c r="C97" s="118"/>
      <c r="D97" s="118">
        <f t="shared" si="17"/>
        <v>0</v>
      </c>
      <c r="E97" s="118"/>
      <c r="F97" s="119" t="s">
        <v>193</v>
      </c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20"/>
      <c r="AA97" s="118"/>
      <c r="AB97" s="118"/>
      <c r="AC97" s="118"/>
      <c r="AD97" s="118"/>
      <c r="AE97" s="118"/>
      <c r="AF97" s="118"/>
      <c r="AG97" s="118"/>
      <c r="AH97" s="118"/>
      <c r="AI97" s="118"/>
      <c r="AJ97" s="118"/>
    </row>
    <row r="98" spans="1:36" outlineLevel="1" x14ac:dyDescent="0.25">
      <c r="A98" s="114"/>
      <c r="B98" s="115"/>
      <c r="C98" s="118"/>
      <c r="D98" s="118">
        <f t="shared" si="17"/>
        <v>0</v>
      </c>
      <c r="E98" s="118"/>
      <c r="F98" s="119" t="s">
        <v>194</v>
      </c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20"/>
      <c r="AB98" s="118"/>
      <c r="AC98" s="118"/>
      <c r="AD98" s="118"/>
      <c r="AE98" s="118"/>
      <c r="AF98" s="118"/>
      <c r="AG98" s="118"/>
      <c r="AH98" s="118"/>
      <c r="AI98" s="118"/>
      <c r="AJ98" s="118"/>
    </row>
    <row r="99" spans="1:36" outlineLevel="1" x14ac:dyDescent="0.25">
      <c r="A99" s="114"/>
      <c r="B99" s="115"/>
      <c r="C99" s="118"/>
      <c r="D99" s="118">
        <f t="shared" si="17"/>
        <v>0</v>
      </c>
      <c r="E99" s="118"/>
      <c r="F99" s="119" t="s">
        <v>195</v>
      </c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20"/>
      <c r="AC99" s="118"/>
      <c r="AD99" s="118"/>
      <c r="AE99" s="118"/>
      <c r="AF99" s="118"/>
      <c r="AG99" s="118"/>
      <c r="AH99" s="118"/>
      <c r="AI99" s="118"/>
      <c r="AJ99" s="118"/>
    </row>
    <row r="100" spans="1:36" outlineLevel="1" x14ac:dyDescent="0.25">
      <c r="A100" s="114"/>
      <c r="B100" s="115"/>
      <c r="C100" s="118"/>
      <c r="D100" s="118">
        <f t="shared" si="17"/>
        <v>0</v>
      </c>
      <c r="E100" s="118"/>
      <c r="F100" s="119" t="s">
        <v>196</v>
      </c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  <c r="AA100" s="118"/>
      <c r="AB100" s="118"/>
      <c r="AC100" s="120"/>
      <c r="AD100" s="118"/>
      <c r="AE100" s="118"/>
      <c r="AF100" s="118"/>
      <c r="AG100" s="118"/>
      <c r="AH100" s="118"/>
      <c r="AI100" s="118"/>
      <c r="AJ100" s="118"/>
    </row>
    <row r="101" spans="1:36" outlineLevel="1" x14ac:dyDescent="0.25">
      <c r="A101" s="114"/>
      <c r="B101" s="115"/>
      <c r="C101" s="118"/>
      <c r="D101" s="118">
        <f t="shared" si="17"/>
        <v>0</v>
      </c>
      <c r="E101" s="118"/>
      <c r="F101" s="119" t="s">
        <v>197</v>
      </c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20"/>
      <c r="AE101" s="118"/>
      <c r="AF101" s="118"/>
      <c r="AG101" s="118"/>
      <c r="AH101" s="118"/>
      <c r="AI101" s="118"/>
      <c r="AJ101" s="118"/>
    </row>
    <row r="102" spans="1:36" outlineLevel="1" x14ac:dyDescent="0.25">
      <c r="A102" s="114"/>
      <c r="B102" s="115"/>
      <c r="C102" s="118"/>
      <c r="D102" s="118">
        <f t="shared" si="17"/>
        <v>0</v>
      </c>
      <c r="E102" s="118"/>
      <c r="F102" s="119" t="s">
        <v>198</v>
      </c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20"/>
      <c r="AF102" s="118"/>
      <c r="AG102" s="118"/>
      <c r="AH102" s="118"/>
      <c r="AI102" s="118"/>
      <c r="AJ102" s="118"/>
    </row>
    <row r="103" spans="1:36" outlineLevel="1" x14ac:dyDescent="0.25">
      <c r="A103" s="114"/>
      <c r="B103" s="115"/>
      <c r="C103" s="118"/>
      <c r="D103" s="118">
        <f t="shared" si="17"/>
        <v>0</v>
      </c>
      <c r="E103" s="118"/>
      <c r="F103" s="119" t="s">
        <v>199</v>
      </c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20"/>
      <c r="AG103" s="118"/>
      <c r="AH103" s="118"/>
      <c r="AI103" s="118"/>
      <c r="AJ103" s="118"/>
    </row>
    <row r="104" spans="1:36" outlineLevel="1" x14ac:dyDescent="0.25">
      <c r="A104" s="114"/>
      <c r="B104" s="115"/>
      <c r="C104" s="118"/>
      <c r="D104" s="118">
        <f t="shared" si="17"/>
        <v>0</v>
      </c>
      <c r="E104" s="118"/>
      <c r="F104" s="119" t="s">
        <v>200</v>
      </c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  <c r="AA104" s="118"/>
      <c r="AB104" s="118"/>
      <c r="AC104" s="118"/>
      <c r="AD104" s="118"/>
      <c r="AE104" s="118"/>
      <c r="AF104" s="118"/>
      <c r="AG104" s="120"/>
      <c r="AH104" s="118"/>
      <c r="AI104" s="118"/>
      <c r="AJ104" s="118"/>
    </row>
    <row r="105" spans="1:36" outlineLevel="1" x14ac:dyDescent="0.25">
      <c r="A105" s="114"/>
      <c r="B105" s="115"/>
      <c r="C105" s="118"/>
      <c r="D105" s="118">
        <f t="shared" si="17"/>
        <v>0</v>
      </c>
      <c r="E105" s="118"/>
      <c r="F105" s="119" t="s">
        <v>201</v>
      </c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118"/>
      <c r="AE105" s="118"/>
      <c r="AF105" s="118"/>
      <c r="AG105" s="118"/>
      <c r="AH105" s="120"/>
      <c r="AI105" s="118"/>
      <c r="AJ105" s="118"/>
    </row>
    <row r="106" spans="1:36" outlineLevel="1" x14ac:dyDescent="0.25">
      <c r="A106" s="114"/>
      <c r="B106" s="115"/>
      <c r="C106" s="118"/>
      <c r="D106" s="118">
        <f t="shared" si="17"/>
        <v>0</v>
      </c>
      <c r="E106" s="118"/>
      <c r="F106" s="119" t="s">
        <v>202</v>
      </c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8"/>
      <c r="Z106" s="118"/>
      <c r="AA106" s="118"/>
      <c r="AB106" s="118"/>
      <c r="AC106" s="118"/>
      <c r="AD106" s="118"/>
      <c r="AE106" s="118"/>
      <c r="AF106" s="118"/>
      <c r="AG106" s="118"/>
      <c r="AH106" s="118"/>
      <c r="AI106" s="120"/>
      <c r="AJ106" s="118"/>
    </row>
    <row r="107" spans="1:36" outlineLevel="1" x14ac:dyDescent="0.25">
      <c r="A107" s="114"/>
      <c r="B107" s="115"/>
      <c r="C107" s="118"/>
      <c r="D107" s="118">
        <f t="shared" si="17"/>
        <v>0</v>
      </c>
      <c r="E107" s="118"/>
      <c r="F107" s="119" t="s">
        <v>203</v>
      </c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  <c r="Z107" s="118"/>
      <c r="AA107" s="118"/>
      <c r="AB107" s="118"/>
      <c r="AC107" s="118"/>
      <c r="AD107" s="118"/>
      <c r="AE107" s="118"/>
      <c r="AF107" s="118"/>
      <c r="AG107" s="118"/>
      <c r="AH107" s="118"/>
      <c r="AI107" s="118"/>
      <c r="AJ107" s="120"/>
    </row>
    <row r="108" spans="1:36" outlineLevel="1" x14ac:dyDescent="0.25">
      <c r="A108" s="114"/>
      <c r="B108" s="115"/>
      <c r="C108" s="121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121"/>
      <c r="AF108" s="121"/>
      <c r="AG108" s="121"/>
      <c r="AH108" s="121"/>
      <c r="AI108" s="121"/>
      <c r="AJ108" s="121"/>
    </row>
    <row r="109" spans="1:36" x14ac:dyDescent="0.25">
      <c r="A109" s="114"/>
      <c r="B109" s="99"/>
      <c r="C109" s="99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99"/>
      <c r="Y109" s="99"/>
      <c r="Z109" s="99"/>
      <c r="AA109" s="99"/>
      <c r="AB109" s="99"/>
      <c r="AC109" s="99"/>
      <c r="AD109" s="99"/>
      <c r="AE109" s="99"/>
      <c r="AF109" s="99"/>
      <c r="AG109" s="99"/>
      <c r="AH109" s="99"/>
      <c r="AI109" s="99"/>
      <c r="AJ109" s="99"/>
    </row>
  </sheetData>
  <mergeCells count="14">
    <mergeCell ref="B33:E33"/>
    <mergeCell ref="B6:F6"/>
    <mergeCell ref="B7:F7"/>
    <mergeCell ref="B8:F8"/>
    <mergeCell ref="B9:F9"/>
    <mergeCell ref="B4:F5"/>
    <mergeCell ref="B14:B15"/>
    <mergeCell ref="F14:F15"/>
    <mergeCell ref="E14:E15"/>
    <mergeCell ref="D14:D15"/>
    <mergeCell ref="C14:C15"/>
    <mergeCell ref="B10:F10"/>
    <mergeCell ref="B11:F11"/>
    <mergeCell ref="B13:F13"/>
  </mergeCells>
  <phoneticPr fontId="78" type="noConversion"/>
  <conditionalFormatting sqref="G2:AJ2">
    <cfRule type="expression" dxfId="32" priority="8" stopIfTrue="1">
      <formula>#REF!&lt;&gt;""</formula>
    </cfRule>
  </conditionalFormatting>
  <pageMargins left="7.874015748031496E-2" right="7.874015748031496E-2" top="0.59055118110236227" bottom="0.59055118110236227" header="0" footer="7.874015748031496E-2"/>
  <pageSetup paperSize="9" scale="53" orientation="landscape" r:id="rId1"/>
  <headerFooter scaleWithDoc="0" alignWithMargins="0">
    <oddFooter>&amp;CRiepilogo investimenti &amp;RPag 3</oddFooter>
  </headerFooter>
  <ignoredErrors>
    <ignoredError sqref="M19:AJ19 M27:AJ27 H19:L19 G20:L20 G19" unlockedFormula="1"/>
    <ignoredError sqref="G27:J27 G28:L33 G21:L26 K27:L27 G36:L36 I35:L35 H34:L34" formula="1" unlockedFormula="1"/>
    <ignoredError sqref="F21:F26 F37:L39 F27 F28:F36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6" operator="greaterThan" id="{B39615C8-F7E0-4AFE-BDC4-91D43AE57119}">
            <xm:f>IN!$C$52</xm:f>
            <x14:dxf>
              <font>
                <color rgb="FF353599"/>
              </font>
            </x14:dxf>
          </x14:cfRule>
          <xm:sqref>AD4:AJ4</xm:sqref>
        </x14:conditionalFormatting>
        <x14:conditionalFormatting xmlns:xm="http://schemas.microsoft.com/office/excel/2006/main">
          <x14:cfRule type="cellIs" priority="5" operator="greaterThan" id="{2691FC48-4B52-4E3F-A38A-94900F26E1F8}">
            <xm:f>IN!$C$47</xm:f>
            <x14:dxf>
              <font>
                <color rgb="FF353599"/>
              </font>
            </x14:dxf>
          </x14:cfRule>
          <xm:sqref>G5:AJ5</xm:sqref>
        </x14:conditionalFormatting>
        <x14:conditionalFormatting xmlns:xm="http://schemas.microsoft.com/office/excel/2006/main">
          <x14:cfRule type="cellIs" priority="1" operator="greaterThan" id="{A47517F2-6B3E-4FCF-9D65-FA32F2FC047E}">
            <xm:f>IN!$C$52</xm:f>
            <x14:dxf>
              <font>
                <color rgb="FF353599"/>
              </font>
            </x14:dxf>
          </x14:cfRule>
          <xm:sqref>AD14:AJ14</xm:sqref>
        </x14:conditionalFormatting>
        <x14:conditionalFormatting xmlns:xm="http://schemas.microsoft.com/office/excel/2006/main">
          <x14:cfRule type="cellIs" priority="2" operator="greaterThan" id="{B43E160F-4F5B-4A59-BB51-1A40BE08021B}">
            <xm:f>0+IN!$C$47</xm:f>
            <x14:dxf>
              <font>
                <color rgb="FF353599"/>
              </font>
            </x14:dxf>
          </x14:cfRule>
          <xm:sqref>G15:AJ15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oglio7">
    <tabColor rgb="FF92D050"/>
    <pageSetUpPr fitToPage="1"/>
  </sheetPr>
  <dimension ref="B1:AG95"/>
  <sheetViews>
    <sheetView tabSelected="1" topLeftCell="C30" zoomScaleNormal="100" workbookViewId="0">
      <selection activeCell="Y4" sqref="Y4:Z4"/>
    </sheetView>
  </sheetViews>
  <sheetFormatPr defaultRowHeight="15" outlineLevelRow="1" x14ac:dyDescent="0.25"/>
  <cols>
    <col min="1" max="1" width="3.85546875" customWidth="1"/>
    <col min="2" max="2" width="41" customWidth="1"/>
    <col min="3" max="3" width="11" customWidth="1"/>
    <col min="4" max="33" width="9.7109375" customWidth="1"/>
  </cols>
  <sheetData>
    <row r="1" spans="2:33" x14ac:dyDescent="0.25">
      <c r="B1" s="1"/>
      <c r="C1" s="1"/>
      <c r="D1" s="1"/>
      <c r="E1" s="1"/>
      <c r="F1" s="1"/>
      <c r="G1" s="1"/>
      <c r="H1" s="414"/>
      <c r="I1" s="41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2:33" ht="23.25" x14ac:dyDescent="0.35">
      <c r="B2" s="175" t="s">
        <v>205</v>
      </c>
      <c r="C2" s="175"/>
      <c r="D2" s="123"/>
      <c r="E2" s="123"/>
      <c r="F2" s="123"/>
      <c r="G2" s="416"/>
      <c r="H2" s="414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</row>
    <row r="3" spans="2:33" x14ac:dyDescent="0.25">
      <c r="B3" s="334" t="s">
        <v>206</v>
      </c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5"/>
      <c r="AB3" s="415"/>
      <c r="AC3" s="415"/>
      <c r="AD3" s="415"/>
      <c r="AE3" s="415"/>
      <c r="AF3" s="415"/>
      <c r="AG3" s="124"/>
    </row>
    <row r="4" spans="2:33" x14ac:dyDescent="0.25">
      <c r="B4" s="801" t="s">
        <v>143</v>
      </c>
      <c r="C4" s="467" t="s">
        <v>329</v>
      </c>
      <c r="D4" s="467" t="s">
        <v>330</v>
      </c>
      <c r="E4" s="467" t="s">
        <v>331</v>
      </c>
      <c r="F4" s="467" t="s">
        <v>332</v>
      </c>
      <c r="G4" s="467" t="s">
        <v>333</v>
      </c>
      <c r="H4" s="467" t="s">
        <v>334</v>
      </c>
      <c r="I4" s="467" t="s">
        <v>335</v>
      </c>
      <c r="J4" s="467" t="s">
        <v>336</v>
      </c>
      <c r="K4" s="467" t="s">
        <v>337</v>
      </c>
      <c r="L4" s="467" t="s">
        <v>338</v>
      </c>
      <c r="M4" s="467" t="s">
        <v>339</v>
      </c>
      <c r="N4" s="467" t="s">
        <v>340</v>
      </c>
      <c r="O4" s="467" t="s">
        <v>341</v>
      </c>
      <c r="P4" s="467" t="s">
        <v>342</v>
      </c>
      <c r="Q4" s="467" t="s">
        <v>343</v>
      </c>
      <c r="R4" s="467" t="s">
        <v>344</v>
      </c>
      <c r="S4" s="467" t="s">
        <v>345</v>
      </c>
      <c r="T4" s="467" t="s">
        <v>346</v>
      </c>
      <c r="U4" s="467" t="s">
        <v>347</v>
      </c>
      <c r="V4" s="467" t="s">
        <v>348</v>
      </c>
      <c r="W4" s="467" t="s">
        <v>349</v>
      </c>
      <c r="X4" s="467" t="s">
        <v>350</v>
      </c>
      <c r="Y4" s="467" t="s">
        <v>351</v>
      </c>
      <c r="Z4" s="467" t="s">
        <v>564</v>
      </c>
      <c r="AA4" s="178"/>
      <c r="AB4" s="178"/>
      <c r="AC4" s="178"/>
      <c r="AD4" s="178"/>
      <c r="AE4" s="178"/>
      <c r="AF4" s="178"/>
      <c r="AG4" s="178"/>
    </row>
    <row r="5" spans="2:33" x14ac:dyDescent="0.25">
      <c r="B5" s="802"/>
      <c r="C5" s="179">
        <v>1</v>
      </c>
      <c r="D5" s="178">
        <f>C5+1</f>
        <v>2</v>
      </c>
      <c r="E5" s="178">
        <f t="shared" ref="E5:AF5" si="0">D5+1</f>
        <v>3</v>
      </c>
      <c r="F5" s="178">
        <f t="shared" si="0"/>
        <v>4</v>
      </c>
      <c r="G5" s="178">
        <f t="shared" si="0"/>
        <v>5</v>
      </c>
      <c r="H5" s="178">
        <f t="shared" si="0"/>
        <v>6</v>
      </c>
      <c r="I5" s="178">
        <f t="shared" si="0"/>
        <v>7</v>
      </c>
      <c r="J5" s="178">
        <f t="shared" si="0"/>
        <v>8</v>
      </c>
      <c r="K5" s="178">
        <f t="shared" si="0"/>
        <v>9</v>
      </c>
      <c r="L5" s="178">
        <f t="shared" si="0"/>
        <v>10</v>
      </c>
      <c r="M5" s="178">
        <f t="shared" si="0"/>
        <v>11</v>
      </c>
      <c r="N5" s="178">
        <f t="shared" si="0"/>
        <v>12</v>
      </c>
      <c r="O5" s="178">
        <f t="shared" si="0"/>
        <v>13</v>
      </c>
      <c r="P5" s="178">
        <f t="shared" si="0"/>
        <v>14</v>
      </c>
      <c r="Q5" s="178">
        <f t="shared" si="0"/>
        <v>15</v>
      </c>
      <c r="R5" s="178">
        <f t="shared" si="0"/>
        <v>16</v>
      </c>
      <c r="S5" s="178">
        <f t="shared" si="0"/>
        <v>17</v>
      </c>
      <c r="T5" s="178">
        <f t="shared" si="0"/>
        <v>18</v>
      </c>
      <c r="U5" s="178">
        <f t="shared" si="0"/>
        <v>19</v>
      </c>
      <c r="V5" s="178">
        <f t="shared" si="0"/>
        <v>20</v>
      </c>
      <c r="W5" s="178">
        <f t="shared" si="0"/>
        <v>21</v>
      </c>
      <c r="X5" s="178">
        <f t="shared" si="0"/>
        <v>22</v>
      </c>
      <c r="Y5" s="178">
        <f t="shared" si="0"/>
        <v>23</v>
      </c>
      <c r="Z5" s="178">
        <f t="shared" si="0"/>
        <v>24</v>
      </c>
      <c r="AA5" s="178">
        <f t="shared" si="0"/>
        <v>25</v>
      </c>
      <c r="AB5" s="178">
        <f t="shared" si="0"/>
        <v>26</v>
      </c>
      <c r="AC5" s="178">
        <f t="shared" si="0"/>
        <v>27</v>
      </c>
      <c r="AD5" s="178">
        <f t="shared" si="0"/>
        <v>28</v>
      </c>
      <c r="AE5" s="178">
        <f t="shared" si="0"/>
        <v>29</v>
      </c>
      <c r="AF5" s="178">
        <f t="shared" si="0"/>
        <v>30</v>
      </c>
      <c r="AG5" s="178">
        <f>AF5+1</f>
        <v>31</v>
      </c>
    </row>
    <row r="6" spans="2:33" x14ac:dyDescent="0.25">
      <c r="B6" s="180" t="s">
        <v>207</v>
      </c>
      <c r="C6" s="181">
        <f>IF(C5&lt;=IN!$C$47,SUM(C7:C12),0)</f>
        <v>854048.09892331529</v>
      </c>
      <c r="D6" s="181">
        <f>IF(D5&lt;=IN!$C$47,SUM(D7:D12),0)</f>
        <v>860787.62164651533</v>
      </c>
      <c r="E6" s="181">
        <f>IF(E5&lt;=IN!$C$47,SUM(E7:E12),0)</f>
        <v>867631.24652417935</v>
      </c>
      <c r="F6" s="181">
        <f>IF(F5&lt;=IN!$C$47,SUM(F7:F12),0)</f>
        <v>874580.74871639663</v>
      </c>
      <c r="G6" s="181">
        <f>IF(G5&lt;=IN!$C$47,SUM(G7:G12),0)</f>
        <v>881637.93581762828</v>
      </c>
      <c r="H6" s="181">
        <f>IF(H5&lt;=IN!$C$47,SUM(H7:H12),0)</f>
        <v>888804.64847470634</v>
      </c>
      <c r="I6" s="181">
        <f>IF(I5&lt;=IN!$C$47,SUM(I7:I12),0)</f>
        <v>896082.76101688552</v>
      </c>
      <c r="J6" s="181">
        <f>IF(J5&lt;=IN!$C$47,SUM(J7:J12),0)</f>
        <v>903474.1820981882</v>
      </c>
      <c r="K6" s="181">
        <f>IF(K5&lt;=IN!$C$47,SUM(K7:K12),0)</f>
        <v>910980.85535227903</v>
      </c>
      <c r="L6" s="181">
        <f>IF(L5&lt;=IN!$C$47,SUM(L7:L12),0)</f>
        <v>918604.76006012573</v>
      </c>
      <c r="M6" s="181">
        <f>IF(M5&lt;=IN!$C$47,SUM(M7:M12),0)</f>
        <v>926347.91183068999</v>
      </c>
      <c r="N6" s="181">
        <f>IF(N5&lt;=IN!$C$47,SUM(N7:N12),0)</f>
        <v>934212.3632949118</v>
      </c>
      <c r="O6" s="181">
        <f>IF(O5&lt;=IN!$C$47,SUM(O7:O12),0)</f>
        <v>942200.20481324685</v>
      </c>
      <c r="P6" s="181">
        <f>IF(P5&lt;=IN!$C$47,SUM(P7:P12),0)</f>
        <v>950313.56519702566</v>
      </c>
      <c r="Q6" s="181">
        <f>IF(Q5&lt;=IN!$C$47,SUM(Q7:Q12),0)</f>
        <v>958554.61244390765</v>
      </c>
      <c r="R6" s="181">
        <f>IF(R5&lt;=IN!$C$47,SUM(R7:R12),0)</f>
        <v>966925.55448770942</v>
      </c>
      <c r="S6" s="181">
        <f>IF(S5&lt;=IN!$C$47,SUM(S7:S12),0)</f>
        <v>975428.63996288925</v>
      </c>
      <c r="T6" s="181">
        <f>IF(T5&lt;=IN!$C$47,SUM(T7:T12),0)</f>
        <v>984066.15898397961</v>
      </c>
      <c r="U6" s="181">
        <f>IF(U5&lt;=IN!$C$47,SUM(U7:U12),0)</f>
        <v>992840.44394026278</v>
      </c>
      <c r="V6" s="181">
        <f>IF(V5&lt;=IN!$C$47,SUM(V7:V12),0)</f>
        <v>1001753.8703059901</v>
      </c>
      <c r="W6" s="181">
        <f>IF(W5&lt;=IN!$C$47,SUM(W7:W12),0)</f>
        <v>1010808.8574664539</v>
      </c>
      <c r="X6" s="181">
        <f>IF(X5&lt;=IN!$C$47,SUM(X7:X12),0)</f>
        <v>1020007.8695602233</v>
      </c>
      <c r="Y6" s="181">
        <f>IF(Y5&lt;=IN!$C$47,SUM(Y7:Y12),0)</f>
        <v>1029353.4163378649</v>
      </c>
      <c r="Z6" s="181">
        <f>IF(Z5&lt;=IN!$C$47,SUM(Z7:Z12),0)</f>
        <v>0</v>
      </c>
      <c r="AA6" s="181">
        <f>IF(AA5&lt;=IN!$C$47,SUM(AA7:AA12),0)</f>
        <v>0</v>
      </c>
      <c r="AB6" s="181">
        <f>IF(AB5&lt;=IN!$C$47,SUM(AB7:AB12),0)</f>
        <v>0</v>
      </c>
      <c r="AC6" s="181">
        <f>IF(AC5&lt;=IN!$C$47,SUM(AC7:AC12),0)</f>
        <v>0</v>
      </c>
      <c r="AD6" s="181">
        <f>IF(AD5&lt;=IN!$C$47,SUM(AD7:AD12),0)</f>
        <v>0</v>
      </c>
      <c r="AE6" s="181">
        <f>IF(AE5&lt;=IN!$C$47,SUM(AE7:AE12),0)</f>
        <v>0</v>
      </c>
      <c r="AF6" s="181">
        <f>IF(AF5&lt;=IN!$C$47,SUM(AF7:AF12),0)</f>
        <v>0</v>
      </c>
      <c r="AG6" s="181"/>
    </row>
    <row r="7" spans="2:33" x14ac:dyDescent="0.25">
      <c r="B7" s="182" t="s">
        <v>208</v>
      </c>
      <c r="C7" s="183">
        <f>IN!I5</f>
        <v>183534.63616000002</v>
      </c>
      <c r="D7" s="183">
        <f>(IN!C16+(IN!C16*2%))*IN!C18</f>
        <v>187205.32888320001</v>
      </c>
      <c r="E7" s="183">
        <f>D7+(D7*2%)</f>
        <v>190949.43546086401</v>
      </c>
      <c r="F7" s="183">
        <f t="shared" ref="F7:V7" si="1">E7+(E7*2%)</f>
        <v>194768.4241700813</v>
      </c>
      <c r="G7" s="183">
        <f t="shared" si="1"/>
        <v>198663.79265348293</v>
      </c>
      <c r="H7" s="183">
        <f t="shared" si="1"/>
        <v>202637.06850655258</v>
      </c>
      <c r="I7" s="183">
        <f t="shared" si="1"/>
        <v>206689.80987668363</v>
      </c>
      <c r="J7" s="183">
        <f t="shared" si="1"/>
        <v>210823.6060742173</v>
      </c>
      <c r="K7" s="183">
        <f t="shared" si="1"/>
        <v>215040.07819570164</v>
      </c>
      <c r="L7" s="183">
        <f t="shared" si="1"/>
        <v>219340.87975961567</v>
      </c>
      <c r="M7" s="183">
        <f t="shared" si="1"/>
        <v>223727.69735480798</v>
      </c>
      <c r="N7" s="183">
        <f t="shared" si="1"/>
        <v>228202.25130190415</v>
      </c>
      <c r="O7" s="183">
        <f t="shared" si="1"/>
        <v>232766.29632794223</v>
      </c>
      <c r="P7" s="183">
        <f t="shared" si="1"/>
        <v>237421.62225450107</v>
      </c>
      <c r="Q7" s="183">
        <f t="shared" si="1"/>
        <v>242170.0546995911</v>
      </c>
      <c r="R7" s="183">
        <f t="shared" si="1"/>
        <v>247013.45579358292</v>
      </c>
      <c r="S7" s="183">
        <f t="shared" si="1"/>
        <v>251953.72490945458</v>
      </c>
      <c r="T7" s="183">
        <f t="shared" si="1"/>
        <v>256992.79940764367</v>
      </c>
      <c r="U7" s="183">
        <f t="shared" si="1"/>
        <v>262132.65539579655</v>
      </c>
      <c r="V7" s="183">
        <f t="shared" si="1"/>
        <v>267375.30850371247</v>
      </c>
      <c r="W7" s="183">
        <f t="shared" ref="W7" si="2">V7+(V7*2%)</f>
        <v>272722.81467378669</v>
      </c>
      <c r="X7" s="183">
        <f t="shared" ref="X7" si="3">W7+(W7*2%)</f>
        <v>278177.27096726245</v>
      </c>
      <c r="Y7" s="183">
        <f t="shared" ref="Y7" si="4">X7+(X7*2%)</f>
        <v>283740.81638660771</v>
      </c>
      <c r="Z7" s="183">
        <f>IF(Z5&lt;=IN!$C$47,IN!$I$5,0)</f>
        <v>0</v>
      </c>
      <c r="AA7" s="183">
        <f>IF(AA5&lt;=IN!$C$47,IN!$I$5,0)</f>
        <v>0</v>
      </c>
      <c r="AB7" s="183">
        <f>IF(AB5&lt;=IN!$C$47,IN!$I$5,0)</f>
        <v>0</v>
      </c>
      <c r="AC7" s="183">
        <f>IF(AC5&lt;=IN!$C$47,IN!$I$5,0)</f>
        <v>0</v>
      </c>
      <c r="AD7" s="183">
        <f>IF(AD5&lt;=IN!$C$47,IN!$I$5,0)</f>
        <v>0</v>
      </c>
      <c r="AE7" s="183">
        <f>IF(AE5&lt;=IN!$C$47,IN!$I$5,0)</f>
        <v>0</v>
      </c>
      <c r="AF7" s="183">
        <f>IF(AF5&lt;=IN!$C$47,IN!$I$5,0)</f>
        <v>0</v>
      </c>
      <c r="AG7" s="183"/>
    </row>
    <row r="8" spans="2:33" ht="41.25" customHeight="1" x14ac:dyDescent="0.25">
      <c r="B8" s="184" t="s">
        <v>314</v>
      </c>
      <c r="C8" s="183">
        <f>IN!I6</f>
        <v>187023</v>
      </c>
      <c r="D8" s="183">
        <f>C8+(C8*1%)</f>
        <v>188893.23</v>
      </c>
      <c r="E8" s="183">
        <f t="shared" ref="E8:V11" si="5">D8+(D8*1%)</f>
        <v>190782.1623</v>
      </c>
      <c r="F8" s="183">
        <f t="shared" si="5"/>
        <v>192689.98392299999</v>
      </c>
      <c r="G8" s="183">
        <f t="shared" si="5"/>
        <v>194616.88376222999</v>
      </c>
      <c r="H8" s="183">
        <f t="shared" si="5"/>
        <v>196563.05259985229</v>
      </c>
      <c r="I8" s="183">
        <f t="shared" si="5"/>
        <v>198528.6831258508</v>
      </c>
      <c r="J8" s="183">
        <f t="shared" si="5"/>
        <v>200513.96995710931</v>
      </c>
      <c r="K8" s="183">
        <f t="shared" si="5"/>
        <v>202519.1096566804</v>
      </c>
      <c r="L8" s="183">
        <f t="shared" si="5"/>
        <v>204544.3007532472</v>
      </c>
      <c r="M8" s="183">
        <f t="shared" si="5"/>
        <v>206589.74376077967</v>
      </c>
      <c r="N8" s="183">
        <f t="shared" si="5"/>
        <v>208655.64119838749</v>
      </c>
      <c r="O8" s="183">
        <f t="shared" si="5"/>
        <v>210742.19761037137</v>
      </c>
      <c r="P8" s="183">
        <f t="shared" si="5"/>
        <v>212849.61958647508</v>
      </c>
      <c r="Q8" s="183">
        <f t="shared" si="5"/>
        <v>214978.11578233982</v>
      </c>
      <c r="R8" s="183">
        <f t="shared" si="5"/>
        <v>217127.89694016322</v>
      </c>
      <c r="S8" s="183">
        <f t="shared" si="5"/>
        <v>219299.17590956486</v>
      </c>
      <c r="T8" s="183">
        <f t="shared" si="5"/>
        <v>221492.16766866052</v>
      </c>
      <c r="U8" s="183">
        <f t="shared" si="5"/>
        <v>223707.08934534714</v>
      </c>
      <c r="V8" s="183">
        <f t="shared" si="5"/>
        <v>225944.1602388006</v>
      </c>
      <c r="W8" s="183">
        <f t="shared" ref="W8" si="6">V8+(V8*1%)</f>
        <v>228203.60184118862</v>
      </c>
      <c r="X8" s="183">
        <f t="shared" ref="X8" si="7">W8+(W8*1%)</f>
        <v>230485.63785960051</v>
      </c>
      <c r="Y8" s="183">
        <f t="shared" ref="Y8" si="8">X8+(X8*1%)</f>
        <v>232790.49423819652</v>
      </c>
      <c r="Z8" s="183">
        <f>IF(Z5&lt;=IN!$C$47,IN!$I$6,0)</f>
        <v>0</v>
      </c>
      <c r="AA8" s="183">
        <f>IF(AA5&lt;=IN!$C$47,IN!$I$6,0)</f>
        <v>0</v>
      </c>
      <c r="AB8" s="183">
        <f>IF(AB5&lt;=IN!$C$47,IN!$I$6,0)</f>
        <v>0</v>
      </c>
      <c r="AC8" s="183">
        <f>IF(AC5&lt;=IN!$C$47,IN!$I$6,0)</f>
        <v>0</v>
      </c>
      <c r="AD8" s="183">
        <f>IF(AD5&lt;=IN!$C$47,IN!$I$6,0)</f>
        <v>0</v>
      </c>
      <c r="AE8" s="183">
        <f>IF(AE5&lt;=IN!$C$47,IN!$I$6,0)</f>
        <v>0</v>
      </c>
      <c r="AF8" s="183">
        <f>IF(AF5&lt;=IN!$C$47,IN!$I$6,0)</f>
        <v>0</v>
      </c>
      <c r="AG8" s="183"/>
    </row>
    <row r="9" spans="2:33" ht="41.25" customHeight="1" x14ac:dyDescent="0.25">
      <c r="B9" s="184" t="s">
        <v>315</v>
      </c>
      <c r="C9" s="183">
        <f>IN!I7</f>
        <v>19860</v>
      </c>
      <c r="D9" s="183">
        <f>C9+(C9*1%)</f>
        <v>20058.599999999999</v>
      </c>
      <c r="E9" s="183">
        <f t="shared" si="5"/>
        <v>20259.185999999998</v>
      </c>
      <c r="F9" s="183">
        <f t="shared" si="5"/>
        <v>20461.777859999998</v>
      </c>
      <c r="G9" s="183">
        <f t="shared" si="5"/>
        <v>20666.395638599999</v>
      </c>
      <c r="H9" s="183">
        <f t="shared" si="5"/>
        <v>20873.059594986</v>
      </c>
      <c r="I9" s="183">
        <f t="shared" si="5"/>
        <v>21081.790190935859</v>
      </c>
      <c r="J9" s="183">
        <f t="shared" si="5"/>
        <v>21292.608092845217</v>
      </c>
      <c r="K9" s="183">
        <f t="shared" si="5"/>
        <v>21505.534173773671</v>
      </c>
      <c r="L9" s="183">
        <f t="shared" si="5"/>
        <v>21720.589515511409</v>
      </c>
      <c r="M9" s="183">
        <f t="shared" si="5"/>
        <v>21937.795410666524</v>
      </c>
      <c r="N9" s="183">
        <f t="shared" si="5"/>
        <v>22157.173364773189</v>
      </c>
      <c r="O9" s="183">
        <f t="shared" si="5"/>
        <v>22378.745098420921</v>
      </c>
      <c r="P9" s="183">
        <f t="shared" si="5"/>
        <v>22602.532549405129</v>
      </c>
      <c r="Q9" s="183">
        <f t="shared" si="5"/>
        <v>22828.557874899179</v>
      </c>
      <c r="R9" s="183">
        <f t="shared" si="5"/>
        <v>23056.843453648173</v>
      </c>
      <c r="S9" s="183">
        <f t="shared" si="5"/>
        <v>23287.411888184655</v>
      </c>
      <c r="T9" s="183">
        <f t="shared" si="5"/>
        <v>23520.286007066501</v>
      </c>
      <c r="U9" s="183">
        <f t="shared" si="5"/>
        <v>23755.488867137166</v>
      </c>
      <c r="V9" s="183">
        <f t="shared" si="5"/>
        <v>23993.04375580854</v>
      </c>
      <c r="W9" s="183">
        <f t="shared" ref="W9:W11" si="9">V9+(V9*1%)</f>
        <v>24232.974193366626</v>
      </c>
      <c r="X9" s="183">
        <f t="shared" ref="X9:X11" si="10">W9+(W9*1%)</f>
        <v>24475.303935300293</v>
      </c>
      <c r="Y9" s="183">
        <f t="shared" ref="Y9:Y11" si="11">X9+(X9*1%)</f>
        <v>24720.056974653296</v>
      </c>
      <c r="Z9" s="183"/>
      <c r="AA9" s="183"/>
      <c r="AB9" s="183"/>
      <c r="AC9" s="183"/>
      <c r="AD9" s="183"/>
      <c r="AE9" s="183"/>
      <c r="AF9" s="183"/>
      <c r="AG9" s="183"/>
    </row>
    <row r="10" spans="2:33" ht="41.25" customHeight="1" x14ac:dyDescent="0.25">
      <c r="B10" s="184" t="s">
        <v>544</v>
      </c>
      <c r="C10" s="183">
        <f>IN!I8</f>
        <v>40000</v>
      </c>
      <c r="D10" s="183">
        <f>C10+(C10*1%)</f>
        <v>40400</v>
      </c>
      <c r="E10" s="183">
        <f t="shared" si="5"/>
        <v>40804</v>
      </c>
      <c r="F10" s="183">
        <f t="shared" si="5"/>
        <v>41212.04</v>
      </c>
      <c r="G10" s="183">
        <f t="shared" si="5"/>
        <v>41624.160400000001</v>
      </c>
      <c r="H10" s="183">
        <f t="shared" si="5"/>
        <v>42040.402004000003</v>
      </c>
      <c r="I10" s="183">
        <f t="shared" si="5"/>
        <v>42460.806024040001</v>
      </c>
      <c r="J10" s="183">
        <f t="shared" si="5"/>
        <v>42885.414084280404</v>
      </c>
      <c r="K10" s="183">
        <f t="shared" si="5"/>
        <v>43314.268225123211</v>
      </c>
      <c r="L10" s="183">
        <f t="shared" si="5"/>
        <v>43747.41090737444</v>
      </c>
      <c r="M10" s="183">
        <f t="shared" si="5"/>
        <v>44184.885016448185</v>
      </c>
      <c r="N10" s="183">
        <f t="shared" si="5"/>
        <v>44626.733866612667</v>
      </c>
      <c r="O10" s="183">
        <f t="shared" si="5"/>
        <v>45073.001205278793</v>
      </c>
      <c r="P10" s="183">
        <f t="shared" si="5"/>
        <v>45523.73121733158</v>
      </c>
      <c r="Q10" s="183">
        <f t="shared" si="5"/>
        <v>45978.968529504898</v>
      </c>
      <c r="R10" s="183">
        <f t="shared" si="5"/>
        <v>46438.758214799949</v>
      </c>
      <c r="S10" s="183">
        <f t="shared" si="5"/>
        <v>46903.145796947945</v>
      </c>
      <c r="T10" s="183">
        <f t="shared" si="5"/>
        <v>47372.177254917427</v>
      </c>
      <c r="U10" s="183">
        <f t="shared" si="5"/>
        <v>47845.899027466599</v>
      </c>
      <c r="V10" s="183">
        <f t="shared" si="5"/>
        <v>48324.358017741266</v>
      </c>
      <c r="W10" s="183">
        <f t="shared" si="9"/>
        <v>48807.601597918678</v>
      </c>
      <c r="X10" s="183">
        <f t="shared" si="10"/>
        <v>49295.677613897868</v>
      </c>
      <c r="Y10" s="183">
        <f t="shared" si="11"/>
        <v>49788.634390036845</v>
      </c>
      <c r="Z10" s="183"/>
      <c r="AA10" s="183"/>
      <c r="AB10" s="183"/>
      <c r="AC10" s="183"/>
      <c r="AD10" s="183"/>
      <c r="AE10" s="183"/>
      <c r="AF10" s="183"/>
      <c r="AG10" s="183"/>
    </row>
    <row r="11" spans="2:33" ht="19.149999999999999" customHeight="1" x14ac:dyDescent="0.25">
      <c r="B11" s="184" t="s">
        <v>504</v>
      </c>
      <c r="C11" s="183">
        <f>IN!I9</f>
        <v>60000</v>
      </c>
      <c r="D11" s="183">
        <f>C11+(C11*1%)</f>
        <v>60600</v>
      </c>
      <c r="E11" s="183">
        <f t="shared" si="5"/>
        <v>61206</v>
      </c>
      <c r="F11" s="183">
        <f t="shared" si="5"/>
        <v>61818.06</v>
      </c>
      <c r="G11" s="183">
        <f t="shared" si="5"/>
        <v>62436.240599999997</v>
      </c>
      <c r="H11" s="183">
        <f t="shared" si="5"/>
        <v>63060.603005999998</v>
      </c>
      <c r="I11" s="183">
        <f t="shared" si="5"/>
        <v>63691.209036059998</v>
      </c>
      <c r="J11" s="183">
        <f t="shared" si="5"/>
        <v>64328.121126420599</v>
      </c>
      <c r="K11" s="183">
        <f t="shared" si="5"/>
        <v>64971.402337684805</v>
      </c>
      <c r="L11" s="183">
        <f t="shared" si="5"/>
        <v>65621.11636106165</v>
      </c>
      <c r="M11" s="183">
        <f t="shared" si="5"/>
        <v>66277.327524672262</v>
      </c>
      <c r="N11" s="183">
        <f t="shared" si="5"/>
        <v>66940.10079991899</v>
      </c>
      <c r="O11" s="183">
        <f t="shared" si="5"/>
        <v>67609.501807918175</v>
      </c>
      <c r="P11" s="183">
        <f t="shared" si="5"/>
        <v>68285.59682599736</v>
      </c>
      <c r="Q11" s="183">
        <f t="shared" si="5"/>
        <v>68968.452794257333</v>
      </c>
      <c r="R11" s="183">
        <f t="shared" si="5"/>
        <v>69658.137322199909</v>
      </c>
      <c r="S11" s="183">
        <f t="shared" si="5"/>
        <v>70354.718695421907</v>
      </c>
      <c r="T11" s="183">
        <f t="shared" si="5"/>
        <v>71058.26588237613</v>
      </c>
      <c r="U11" s="183">
        <f t="shared" si="5"/>
        <v>71768.848541199884</v>
      </c>
      <c r="V11" s="183">
        <f t="shared" si="5"/>
        <v>72486.537026611884</v>
      </c>
      <c r="W11" s="183">
        <f t="shared" si="9"/>
        <v>73211.402396878009</v>
      </c>
      <c r="X11" s="183">
        <f t="shared" si="10"/>
        <v>73943.51642084679</v>
      </c>
      <c r="Y11" s="183">
        <f t="shared" si="11"/>
        <v>74682.951585055256</v>
      </c>
      <c r="Z11" s="183"/>
      <c r="AA11" s="183"/>
      <c r="AB11" s="183"/>
      <c r="AC11" s="183"/>
      <c r="AD11" s="183"/>
      <c r="AE11" s="183"/>
      <c r="AF11" s="183"/>
      <c r="AG11" s="183"/>
    </row>
    <row r="12" spans="2:33" x14ac:dyDescent="0.25">
      <c r="B12" s="185" t="s">
        <v>209</v>
      </c>
      <c r="C12" s="186">
        <f>IF(C5&lt;=IN!$C$47,IN!$I$10,0)</f>
        <v>363630.46276331536</v>
      </c>
      <c r="D12" s="186">
        <f>IF(D5&lt;=IN!$C$47,IN!$I$10,0)</f>
        <v>363630.46276331536</v>
      </c>
      <c r="E12" s="186">
        <f>IF(E5&lt;=IN!$C$47,IN!$I$10,0)</f>
        <v>363630.46276331536</v>
      </c>
      <c r="F12" s="186">
        <f>IF(F5&lt;=IN!$C$47,IN!$I$10,0)</f>
        <v>363630.46276331536</v>
      </c>
      <c r="G12" s="186">
        <f>IF(G5&lt;=IN!$C$47,IN!$I$10,0)</f>
        <v>363630.46276331536</v>
      </c>
      <c r="H12" s="186">
        <f>IF(H5&lt;=IN!$C$47,IN!$I$10,0)</f>
        <v>363630.46276331536</v>
      </c>
      <c r="I12" s="186">
        <f>IF(I5&lt;=IN!$C$47,IN!$I$10,0)</f>
        <v>363630.46276331536</v>
      </c>
      <c r="J12" s="186">
        <f>IF(J5&lt;=IN!$C$47,IN!$I$10,0)</f>
        <v>363630.46276331536</v>
      </c>
      <c r="K12" s="186">
        <f>IF(K5&lt;=IN!$C$47,IN!$I$10,0)</f>
        <v>363630.46276331536</v>
      </c>
      <c r="L12" s="186">
        <f>IF(L5&lt;=IN!$C$47,IN!$I$10,0)</f>
        <v>363630.46276331536</v>
      </c>
      <c r="M12" s="186">
        <f>IF(M5&lt;=IN!$C$47,IN!$I$10,0)</f>
        <v>363630.46276331536</v>
      </c>
      <c r="N12" s="186">
        <f>IF(N5&lt;=IN!$C$47,IN!$I$10,0)</f>
        <v>363630.46276331536</v>
      </c>
      <c r="O12" s="186">
        <f>IF(O5&lt;=IN!$C$47,IN!$I$10,0)</f>
        <v>363630.46276331536</v>
      </c>
      <c r="P12" s="186">
        <f>IF(P5&lt;=IN!$C$47,IN!$I$10,0)</f>
        <v>363630.46276331536</v>
      </c>
      <c r="Q12" s="186">
        <f>IF(Q5&lt;=IN!$C$47,IN!$I$10,0)</f>
        <v>363630.46276331536</v>
      </c>
      <c r="R12" s="186">
        <f>IF(R5&lt;=IN!$C$47,IN!$I$10,0)</f>
        <v>363630.46276331536</v>
      </c>
      <c r="S12" s="186">
        <f>IF(S5&lt;=IN!$C$47,IN!$I$10,0)</f>
        <v>363630.46276331536</v>
      </c>
      <c r="T12" s="186">
        <f>IF(T5&lt;=IN!$C$47,IN!$I$10,0)</f>
        <v>363630.46276331536</v>
      </c>
      <c r="U12" s="186">
        <f>IF(U5&lt;=IN!$C$47,IN!$I$10,0)</f>
        <v>363630.46276331536</v>
      </c>
      <c r="V12" s="186">
        <f>IF(V5&lt;=IN!$C$47,IN!$I$10,0)</f>
        <v>363630.46276331536</v>
      </c>
      <c r="W12" s="186">
        <f>IF(W5&lt;=IN!$C$47,IN!$I$10,0)</f>
        <v>363630.46276331536</v>
      </c>
      <c r="X12" s="186">
        <f>IF(X5&lt;=IN!$C$47,IN!$I$10,0)</f>
        <v>363630.46276331536</v>
      </c>
      <c r="Y12" s="186">
        <f>IF(Y5&lt;=IN!$C$47,IN!$I$10,0)</f>
        <v>363630.46276331536</v>
      </c>
      <c r="Z12" s="186">
        <f>IF(Z5&lt;=IN!$C$47,IN!$I$10,0)</f>
        <v>0</v>
      </c>
      <c r="AA12" s="186">
        <f>IF(AA5&lt;=IN!$C$47,IN!$I$10,0)</f>
        <v>0</v>
      </c>
      <c r="AB12" s="186">
        <f>IF(AB5&lt;=IN!$C$47,IN!$I$10,0)</f>
        <v>0</v>
      </c>
      <c r="AC12" s="186">
        <f>IF(AC5&lt;=IN!$C$47,IN!$I$10,0)</f>
        <v>0</v>
      </c>
      <c r="AD12" s="186">
        <f>IF(AD5&lt;=IN!$C$47,IN!$I$10,0)</f>
        <v>0</v>
      </c>
      <c r="AE12" s="186">
        <f>IF(AE5&lt;=IN!$C$47,IN!$I$10,0)</f>
        <v>0</v>
      </c>
      <c r="AF12" s="186">
        <f>IF(AF5&lt;=IN!$C$47,IN!$I$10,0)</f>
        <v>0</v>
      </c>
      <c r="AG12" s="186"/>
    </row>
    <row r="13" spans="2:33" x14ac:dyDescent="0.25">
      <c r="B13" s="187" t="s">
        <v>210</v>
      </c>
      <c r="C13" s="181"/>
      <c r="D13" s="181"/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</row>
    <row r="14" spans="2:33" x14ac:dyDescent="0.25">
      <c r="B14" s="188" t="s">
        <v>210</v>
      </c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83"/>
      <c r="AD14" s="183"/>
      <c r="AE14" s="183"/>
      <c r="AF14" s="183"/>
      <c r="AG14" s="183"/>
    </row>
    <row r="15" spans="2:33" s="428" customFormat="1" x14ac:dyDescent="0.25">
      <c r="B15" s="429" t="s">
        <v>211</v>
      </c>
      <c r="C15" s="430">
        <f t="shared" ref="C15:AF15" si="12">SUM(C7:C14)</f>
        <v>854048.09892331529</v>
      </c>
      <c r="D15" s="430">
        <f t="shared" si="12"/>
        <v>860787.62164651533</v>
      </c>
      <c r="E15" s="430">
        <f t="shared" si="12"/>
        <v>867631.24652417935</v>
      </c>
      <c r="F15" s="430">
        <f t="shared" si="12"/>
        <v>874580.74871639663</v>
      </c>
      <c r="G15" s="430">
        <f t="shared" si="12"/>
        <v>881637.93581762828</v>
      </c>
      <c r="H15" s="430">
        <f t="shared" si="12"/>
        <v>888804.64847470634</v>
      </c>
      <c r="I15" s="430">
        <f t="shared" si="12"/>
        <v>896082.76101688552</v>
      </c>
      <c r="J15" s="430">
        <f t="shared" si="12"/>
        <v>903474.1820981882</v>
      </c>
      <c r="K15" s="430">
        <f t="shared" si="12"/>
        <v>910980.85535227903</v>
      </c>
      <c r="L15" s="430">
        <f t="shared" si="12"/>
        <v>918604.76006012573</v>
      </c>
      <c r="M15" s="430">
        <f t="shared" si="12"/>
        <v>926347.91183068999</v>
      </c>
      <c r="N15" s="430">
        <f t="shared" si="12"/>
        <v>934212.3632949118</v>
      </c>
      <c r="O15" s="430">
        <f t="shared" si="12"/>
        <v>942200.20481324685</v>
      </c>
      <c r="P15" s="430">
        <f t="shared" si="12"/>
        <v>950313.56519702566</v>
      </c>
      <c r="Q15" s="430">
        <f t="shared" si="12"/>
        <v>958554.61244390765</v>
      </c>
      <c r="R15" s="430">
        <f t="shared" si="12"/>
        <v>966925.55448770942</v>
      </c>
      <c r="S15" s="430">
        <f t="shared" si="12"/>
        <v>975428.63996288925</v>
      </c>
      <c r="T15" s="430">
        <f t="shared" si="12"/>
        <v>984066.15898397961</v>
      </c>
      <c r="U15" s="430">
        <f t="shared" si="12"/>
        <v>992840.44394026278</v>
      </c>
      <c r="V15" s="430">
        <f t="shared" si="12"/>
        <v>1001753.8703059901</v>
      </c>
      <c r="W15" s="430">
        <f t="shared" si="12"/>
        <v>1010808.8574664539</v>
      </c>
      <c r="X15" s="430">
        <f t="shared" si="12"/>
        <v>1020007.8695602233</v>
      </c>
      <c r="Y15" s="430">
        <f t="shared" si="12"/>
        <v>1029353.4163378649</v>
      </c>
      <c r="Z15" s="430">
        <f t="shared" si="12"/>
        <v>0</v>
      </c>
      <c r="AA15" s="430">
        <f t="shared" si="12"/>
        <v>0</v>
      </c>
      <c r="AB15" s="430">
        <f t="shared" si="12"/>
        <v>0</v>
      </c>
      <c r="AC15" s="430">
        <f t="shared" si="12"/>
        <v>0</v>
      </c>
      <c r="AD15" s="430">
        <f t="shared" si="12"/>
        <v>0</v>
      </c>
      <c r="AE15" s="430">
        <f t="shared" si="12"/>
        <v>0</v>
      </c>
      <c r="AF15" s="430">
        <f t="shared" si="12"/>
        <v>0</v>
      </c>
      <c r="AG15" s="430"/>
    </row>
    <row r="16" spans="2:33" x14ac:dyDescent="0.25">
      <c r="B16" s="189" t="s">
        <v>212</v>
      </c>
      <c r="C16" s="183">
        <v>446582.92499999999</v>
      </c>
      <c r="D16" s="183">
        <f>(IN!D16+(IN!D16*2%))*IN!C18</f>
        <v>186376.98672000002</v>
      </c>
      <c r="E16" s="183">
        <f>D16+(D16*2%)</f>
        <v>190104.52645440001</v>
      </c>
      <c r="F16" s="183">
        <f t="shared" ref="F16:V16" si="13">E16+(E16*2%)</f>
        <v>193906.616983488</v>
      </c>
      <c r="G16" s="183">
        <f t="shared" si="13"/>
        <v>197784.74932315777</v>
      </c>
      <c r="H16" s="183">
        <f t="shared" si="13"/>
        <v>201740.44430962091</v>
      </c>
      <c r="I16" s="183">
        <f t="shared" si="13"/>
        <v>205775.25319581333</v>
      </c>
      <c r="J16" s="183">
        <f t="shared" si="13"/>
        <v>209890.7582597296</v>
      </c>
      <c r="K16" s="183">
        <f t="shared" si="13"/>
        <v>214088.57342492419</v>
      </c>
      <c r="L16" s="183">
        <f t="shared" si="13"/>
        <v>218370.34489342268</v>
      </c>
      <c r="M16" s="183">
        <f t="shared" si="13"/>
        <v>222737.75179129114</v>
      </c>
      <c r="N16" s="183">
        <f t="shared" si="13"/>
        <v>227192.50682711697</v>
      </c>
      <c r="O16" s="183">
        <f t="shared" si="13"/>
        <v>231736.35696365932</v>
      </c>
      <c r="P16" s="183">
        <f t="shared" si="13"/>
        <v>236371.08410293251</v>
      </c>
      <c r="Q16" s="183">
        <f t="shared" si="13"/>
        <v>241098.50578499117</v>
      </c>
      <c r="R16" s="183">
        <f t="shared" si="13"/>
        <v>245920.475900691</v>
      </c>
      <c r="S16" s="183">
        <f t="shared" si="13"/>
        <v>250838.88541870483</v>
      </c>
      <c r="T16" s="183">
        <f t="shared" si="13"/>
        <v>255855.66312707894</v>
      </c>
      <c r="U16" s="183">
        <f t="shared" si="13"/>
        <v>260972.77638962053</v>
      </c>
      <c r="V16" s="183">
        <f t="shared" si="13"/>
        <v>266192.23191741295</v>
      </c>
      <c r="W16" s="183">
        <f t="shared" ref="W16" si="14">V16+(V16*2%)</f>
        <v>271516.07655576122</v>
      </c>
      <c r="X16" s="183">
        <f t="shared" ref="X16" si="15">W16+(W16*2%)</f>
        <v>276946.39808687643</v>
      </c>
      <c r="Y16" s="183">
        <f t="shared" ref="Y16" si="16">X16+(X16*2%)</f>
        <v>282485.32604861399</v>
      </c>
      <c r="Z16" s="183">
        <f>IF(Z5&lt;=IN!$C$47,IF(Z5&lt;=ROUNDUP(IN!$C$49,0),(IF(IN!$C$49&lt;0.9,IN!$C$49*IN!$C$17+(1-IN!$C$49)*IN!$C$18,0)+IF(AND(IN!$C$49&gt;=0.9,IN!$C$49&lt;=1),IF(Z5=1,IN!$C$17*0.985,IN!$C$18),0)+IF(IN!$C$49&gt;1,IF(Z5=1,IN!$C$17*0.985,IN!$C$17-((IN!$C$17-IN!$C$18)/ROUND(IN!$C$49,1))*('CE CC opz1'!Z5-1)),0)),IN!$C$18)*IN!$C$16,0)</f>
        <v>0</v>
      </c>
      <c r="AA16" s="183">
        <f>IF(AA5&lt;=IN!$C$47,IF(AA5&lt;=ROUNDUP(IN!$C$49,0),(IF(IN!$C$49&lt;0.9,IN!$C$49*IN!$C$17+(1-IN!$C$49)*IN!$C$18,0)+IF(AND(IN!$C$49&gt;=0.9,IN!$C$49&lt;=1),IF(AA5=1,IN!$C$17*0.985,IN!$C$18),0)+IF(IN!$C$49&gt;1,IF(AA5=1,IN!$C$17*0.985,IN!$C$17-((IN!$C$17-IN!$C$18)/ROUND(IN!$C$49,1))*('CE CC opz1'!AA5-1)),0)),IN!$C$18)*IN!$C$16,0)</f>
        <v>0</v>
      </c>
      <c r="AB16" s="183">
        <f>IF(AB5&lt;=IN!$C$47,IF(AB5&lt;=ROUNDUP(IN!$C$49,0),(IF(IN!$C$49&lt;0.9,IN!$C$49*IN!$C$17+(1-IN!$C$49)*IN!$C$18,0)+IF(AND(IN!$C$49&gt;=0.9,IN!$C$49&lt;=1),IF(AB5=1,IN!$C$17*0.985,IN!$C$18),0)+IF(IN!$C$49&gt;1,IF(AB5=1,IN!$C$17*0.985,IN!$C$17-((IN!$C$17-IN!$C$18)/ROUND(IN!$C$49,1))*('CE CC opz1'!AB5-1)),0)),IN!$C$18)*IN!$C$16,0)</f>
        <v>0</v>
      </c>
      <c r="AC16" s="183">
        <f>IF(AC5&lt;=IN!$C$47,IF(AC5&lt;=ROUNDUP(IN!$C$49,0),(IF(IN!$C$49&lt;0.9,IN!$C$49*IN!$C$17+(1-IN!$C$49)*IN!$C$18,0)+IF(AND(IN!$C$49&gt;=0.9,IN!$C$49&lt;=1),IF(AC5=1,IN!$C$17*0.985,IN!$C$18),0)+IF(IN!$C$49&gt;1,IF(AC5=1,IN!$C$17*0.985,IN!$C$17-((IN!$C$17-IN!$C$18)/ROUND(IN!$C$49,1))*('CE CC opz1'!AC5-1)),0)),IN!$C$18)*IN!$C$16,0)</f>
        <v>0</v>
      </c>
      <c r="AD16" s="183">
        <f>IF(AD5&lt;=IN!$C$47,IF(AD5&lt;=ROUNDUP(IN!$C$49,0),(IF(IN!$C$49&lt;0.9,IN!$C$49*IN!$C$17+(1-IN!$C$49)*IN!$C$18,0)+IF(AND(IN!$C$49&gt;=0.9,IN!$C$49&lt;=1),IF(AD5=1,IN!$C$17*0.985,IN!$C$18),0)+IF(IN!$C$49&gt;1,IF(AD5=1,IN!$C$17*0.985,IN!$C$17-((IN!$C$17-IN!$C$18)/ROUND(IN!$C$49,1))*('CE CC opz1'!AD5-1)),0)),IN!$C$18)*IN!$C$16,0)</f>
        <v>0</v>
      </c>
      <c r="AE16" s="183">
        <f>IF(AE5&lt;=IN!$C$47,IF(AE5&lt;=ROUNDUP(IN!$C$49,0),(IF(IN!$C$49&lt;0.9,IN!$C$49*IN!$C$17+(1-IN!$C$49)*IN!$C$18,0)+IF(AND(IN!$C$49&gt;=0.9,IN!$C$49&lt;=1),IF(AE5=1,IN!$C$17*0.985,IN!$C$18),0)+IF(IN!$C$49&gt;1,IF(AE5=1,IN!$C$17*0.985,IN!$C$17-((IN!$C$17-IN!$C$18)/ROUND(IN!$C$49,1))*('CE CC opz1'!AE5-1)),0)),IN!$C$18)*IN!$C$16,0)</f>
        <v>0</v>
      </c>
      <c r="AF16" s="183">
        <f>IF(AF5&lt;=IN!$C$47,IF(AF5&lt;=ROUNDUP(IN!$C$49,0),(IF(IN!$C$49&lt;0.9,IN!$C$49*IN!$C$17+(1-IN!$C$49)*IN!$C$18,0)+IF(AND(IN!$C$49&gt;=0.9,IN!$C$49&lt;=1),IF(AF5=1,IN!$C$17*0.985,IN!$C$18),0)+IF(IN!$C$49&gt;1,IF(AF5=1,IN!$C$17*0.985,IN!$C$17-((IN!$C$17-IN!$C$18)/ROUND(IN!$C$49,1))*('CE CC opz1'!AF5-1)),0)),IN!$C$18)*IN!$C$16,0)</f>
        <v>0</v>
      </c>
      <c r="AG16" s="183"/>
    </row>
    <row r="17" spans="2:33" x14ac:dyDescent="0.25">
      <c r="B17" s="189" t="s">
        <v>489</v>
      </c>
      <c r="C17" s="183">
        <f>IF(C5&lt;=IN!$C$47,IN!$C$26,0)</f>
        <v>53015.85</v>
      </c>
      <c r="D17" s="183">
        <f>C17+(C17*1%)</f>
        <v>53546.008499999996</v>
      </c>
      <c r="E17" s="183">
        <f t="shared" ref="E17:V18" si="17">D17+(D17*1%)</f>
        <v>54081.468584999995</v>
      </c>
      <c r="F17" s="183">
        <f t="shared" si="17"/>
        <v>54622.283270849992</v>
      </c>
      <c r="G17" s="183">
        <f t="shared" si="17"/>
        <v>55168.506103558495</v>
      </c>
      <c r="H17" s="183">
        <f t="shared" si="17"/>
        <v>55720.191164594078</v>
      </c>
      <c r="I17" s="183">
        <f t="shared" si="17"/>
        <v>56277.39307624002</v>
      </c>
      <c r="J17" s="183">
        <f t="shared" si="17"/>
        <v>56840.167007002419</v>
      </c>
      <c r="K17" s="183">
        <f t="shared" si="17"/>
        <v>57408.568677072442</v>
      </c>
      <c r="L17" s="183">
        <f t="shared" si="17"/>
        <v>57982.654363843169</v>
      </c>
      <c r="M17" s="183">
        <f t="shared" si="17"/>
        <v>58562.4809074816</v>
      </c>
      <c r="N17" s="183">
        <f t="shared" si="17"/>
        <v>59148.10571655642</v>
      </c>
      <c r="O17" s="183">
        <f t="shared" si="17"/>
        <v>59739.586773721981</v>
      </c>
      <c r="P17" s="183">
        <f t="shared" si="17"/>
        <v>60336.982641459203</v>
      </c>
      <c r="Q17" s="183">
        <f t="shared" si="17"/>
        <v>60940.352467873796</v>
      </c>
      <c r="R17" s="183">
        <f t="shared" si="17"/>
        <v>61549.755992552535</v>
      </c>
      <c r="S17" s="183">
        <f t="shared" si="17"/>
        <v>62165.253552478061</v>
      </c>
      <c r="T17" s="183">
        <f t="shared" si="17"/>
        <v>62786.906088002841</v>
      </c>
      <c r="U17" s="183">
        <f t="shared" si="17"/>
        <v>63414.775148882873</v>
      </c>
      <c r="V17" s="183">
        <f t="shared" si="17"/>
        <v>64048.922900371705</v>
      </c>
      <c r="W17" s="183">
        <f t="shared" ref="W17:Y18" si="18">V17+(V17*1%)</f>
        <v>64689.412129375422</v>
      </c>
      <c r="X17" s="183">
        <f t="shared" ref="X17" si="19">W17+(W17*1%)</f>
        <v>65336.306250669179</v>
      </c>
      <c r="Y17" s="183">
        <f t="shared" ref="Y17" si="20">X17+(X17*1%)</f>
        <v>65989.669313175866</v>
      </c>
      <c r="Z17" s="183">
        <f>IF(Z5&lt;=IN!$C$47,IN!$C$26*IN!$C$15,0)</f>
        <v>0</v>
      </c>
      <c r="AA17" s="183">
        <f>IF(AA5&lt;=IN!$C$47,IN!$C$26*IN!$C$15,0)</f>
        <v>0</v>
      </c>
      <c r="AB17" s="183">
        <f>IF(AB5&lt;=IN!$C$47,IN!$C$26*IN!$C$15,0)</f>
        <v>0</v>
      </c>
      <c r="AC17" s="183">
        <f>IF(AC5&lt;=IN!$C$47,IN!$C$26*IN!$C$15,0)</f>
        <v>0</v>
      </c>
      <c r="AD17" s="183">
        <f>IF(AD5&lt;=IN!$C$47,IN!$C$26*IN!$C$15,0)</f>
        <v>0</v>
      </c>
      <c r="AE17" s="183">
        <f>IF(AE5&lt;=IN!$C$47,IN!$C$26*IN!$C$15,0)</f>
        <v>0</v>
      </c>
      <c r="AF17" s="183">
        <f>IF(AF5&lt;=IN!$C$47,IN!$C$26*IN!$C$15,0)</f>
        <v>0</v>
      </c>
      <c r="AG17" s="183"/>
    </row>
    <row r="18" spans="2:33" x14ac:dyDescent="0.25">
      <c r="B18" s="189" t="s">
        <v>213</v>
      </c>
      <c r="C18" s="183">
        <f>IF(C5&lt;=IN!$C$47,IN!$C$27,0)</f>
        <v>17372.355</v>
      </c>
      <c r="D18" s="183">
        <f t="shared" ref="D18:S27" si="21">C18+(C18*1%)</f>
        <v>17546.078549999998</v>
      </c>
      <c r="E18" s="183">
        <f t="shared" si="21"/>
        <v>17721.539335499998</v>
      </c>
      <c r="F18" s="183">
        <f t="shared" si="21"/>
        <v>17898.754728854998</v>
      </c>
      <c r="G18" s="183">
        <f t="shared" si="21"/>
        <v>18077.742276143548</v>
      </c>
      <c r="H18" s="183">
        <f t="shared" si="21"/>
        <v>18258.519698904984</v>
      </c>
      <c r="I18" s="183">
        <f t="shared" si="21"/>
        <v>18441.104895894034</v>
      </c>
      <c r="J18" s="183">
        <f t="shared" si="21"/>
        <v>18625.515944852974</v>
      </c>
      <c r="K18" s="183">
        <f t="shared" si="21"/>
        <v>18811.771104301504</v>
      </c>
      <c r="L18" s="183">
        <f t="shared" si="21"/>
        <v>18999.888815344519</v>
      </c>
      <c r="M18" s="183">
        <f t="shared" si="21"/>
        <v>19189.887703497963</v>
      </c>
      <c r="N18" s="183">
        <f t="shared" si="21"/>
        <v>19381.786580532942</v>
      </c>
      <c r="O18" s="183">
        <f t="shared" si="21"/>
        <v>19575.604446338271</v>
      </c>
      <c r="P18" s="183">
        <f t="shared" si="21"/>
        <v>19771.360490801653</v>
      </c>
      <c r="Q18" s="183">
        <f t="shared" si="21"/>
        <v>19969.074095709671</v>
      </c>
      <c r="R18" s="183">
        <f t="shared" si="21"/>
        <v>20168.764836666767</v>
      </c>
      <c r="S18" s="183">
        <f t="shared" si="21"/>
        <v>20370.452485033435</v>
      </c>
      <c r="T18" s="183">
        <f t="shared" si="17"/>
        <v>20574.157009883769</v>
      </c>
      <c r="U18" s="183">
        <f t="shared" si="17"/>
        <v>20779.898579982608</v>
      </c>
      <c r="V18" s="183">
        <f t="shared" si="17"/>
        <v>20987.697565782433</v>
      </c>
      <c r="W18" s="183">
        <f t="shared" si="18"/>
        <v>21197.574541440259</v>
      </c>
      <c r="X18" s="183">
        <f t="shared" si="18"/>
        <v>21409.550286854661</v>
      </c>
      <c r="Y18" s="183">
        <f t="shared" si="18"/>
        <v>21623.645789723207</v>
      </c>
      <c r="Z18" s="183"/>
      <c r="AA18" s="183"/>
      <c r="AB18" s="183"/>
      <c r="AC18" s="183"/>
      <c r="AD18" s="183"/>
      <c r="AE18" s="183"/>
      <c r="AF18" s="183"/>
      <c r="AG18" s="183"/>
    </row>
    <row r="19" spans="2:33" x14ac:dyDescent="0.25">
      <c r="B19" s="189" t="s">
        <v>490</v>
      </c>
      <c r="C19" s="183">
        <f>IF(C5&lt;=IN!$C$47,IN!$C$28,0)</f>
        <v>7234.9199999999992</v>
      </c>
      <c r="D19" s="183">
        <f t="shared" si="21"/>
        <v>7307.2691999999988</v>
      </c>
      <c r="E19" s="183">
        <f t="shared" ref="E19:Y27" si="22">D19+(D19*1%)</f>
        <v>7380.3418919999986</v>
      </c>
      <c r="F19" s="183">
        <f t="shared" si="22"/>
        <v>7454.1453109199983</v>
      </c>
      <c r="G19" s="183">
        <f t="shared" si="22"/>
        <v>7528.6867640291985</v>
      </c>
      <c r="H19" s="183">
        <f t="shared" si="22"/>
        <v>7603.9736316694907</v>
      </c>
      <c r="I19" s="183">
        <f t="shared" si="22"/>
        <v>7680.0133679861856</v>
      </c>
      <c r="J19" s="183">
        <f t="shared" si="22"/>
        <v>7756.8135016660472</v>
      </c>
      <c r="K19" s="183">
        <f t="shared" si="22"/>
        <v>7834.3816366827077</v>
      </c>
      <c r="L19" s="183">
        <f t="shared" si="22"/>
        <v>7912.7254530495347</v>
      </c>
      <c r="M19" s="183">
        <f t="shared" si="22"/>
        <v>7991.8527075800303</v>
      </c>
      <c r="N19" s="183">
        <f t="shared" si="22"/>
        <v>8071.771234655831</v>
      </c>
      <c r="O19" s="183">
        <f t="shared" si="22"/>
        <v>8152.4889470023891</v>
      </c>
      <c r="P19" s="183">
        <f t="shared" si="22"/>
        <v>8234.0138364724135</v>
      </c>
      <c r="Q19" s="183">
        <f t="shared" si="22"/>
        <v>8316.3539748371368</v>
      </c>
      <c r="R19" s="183">
        <f t="shared" si="22"/>
        <v>8399.5175145855083</v>
      </c>
      <c r="S19" s="183">
        <f t="shared" si="22"/>
        <v>8483.5126897313639</v>
      </c>
      <c r="T19" s="183">
        <f t="shared" si="22"/>
        <v>8568.3478166286768</v>
      </c>
      <c r="U19" s="183">
        <f t="shared" si="22"/>
        <v>8654.0312947949642</v>
      </c>
      <c r="V19" s="183">
        <f t="shared" si="22"/>
        <v>8740.5716077429133</v>
      </c>
      <c r="W19" s="183">
        <f t="shared" si="22"/>
        <v>8827.9773238203416</v>
      </c>
      <c r="X19" s="183">
        <f t="shared" si="22"/>
        <v>8916.2570970585457</v>
      </c>
      <c r="Y19" s="183">
        <f t="shared" si="22"/>
        <v>9005.4196680291316</v>
      </c>
      <c r="Z19" s="183"/>
      <c r="AA19" s="183"/>
      <c r="AB19" s="183"/>
      <c r="AC19" s="183"/>
      <c r="AD19" s="183"/>
      <c r="AE19" s="183"/>
      <c r="AF19" s="183"/>
      <c r="AG19" s="183"/>
    </row>
    <row r="20" spans="2:33" x14ac:dyDescent="0.25">
      <c r="B20" s="189" t="s">
        <v>491</v>
      </c>
      <c r="C20" s="183">
        <f>IF(C5&lt;=IN!$C$47,IN!$C$29,0)</f>
        <v>5751.45</v>
      </c>
      <c r="D20" s="183">
        <f t="shared" si="21"/>
        <v>5808.9645</v>
      </c>
      <c r="E20" s="183">
        <f t="shared" si="22"/>
        <v>5867.0541450000001</v>
      </c>
      <c r="F20" s="183">
        <f t="shared" si="22"/>
        <v>5925.7246864500003</v>
      </c>
      <c r="G20" s="183">
        <f t="shared" si="22"/>
        <v>5984.9819333145006</v>
      </c>
      <c r="H20" s="183">
        <f t="shared" si="22"/>
        <v>6044.8317526476458</v>
      </c>
      <c r="I20" s="183">
        <f t="shared" si="22"/>
        <v>6105.2800701741226</v>
      </c>
      <c r="J20" s="183">
        <f t="shared" si="22"/>
        <v>6166.3328708758636</v>
      </c>
      <c r="K20" s="183">
        <f t="shared" si="22"/>
        <v>6227.9961995846224</v>
      </c>
      <c r="L20" s="183">
        <f t="shared" si="22"/>
        <v>6290.2761615804684</v>
      </c>
      <c r="M20" s="183">
        <f t="shared" si="22"/>
        <v>6353.178923196273</v>
      </c>
      <c r="N20" s="183">
        <f t="shared" si="22"/>
        <v>6416.7107124282356</v>
      </c>
      <c r="O20" s="183">
        <f t="shared" si="22"/>
        <v>6480.8778195525183</v>
      </c>
      <c r="P20" s="183">
        <f t="shared" si="22"/>
        <v>6545.6865977480438</v>
      </c>
      <c r="Q20" s="183">
        <f t="shared" si="22"/>
        <v>6611.1434637255243</v>
      </c>
      <c r="R20" s="183">
        <f t="shared" si="22"/>
        <v>6677.2548983627794</v>
      </c>
      <c r="S20" s="183">
        <f t="shared" si="22"/>
        <v>6744.0274473464069</v>
      </c>
      <c r="T20" s="183">
        <f t="shared" si="22"/>
        <v>6811.4677218198713</v>
      </c>
      <c r="U20" s="183">
        <f t="shared" si="22"/>
        <v>6879.5823990380695</v>
      </c>
      <c r="V20" s="183">
        <f t="shared" si="22"/>
        <v>6948.3782230284505</v>
      </c>
      <c r="W20" s="183">
        <f t="shared" si="22"/>
        <v>7017.8620052587348</v>
      </c>
      <c r="X20" s="183">
        <f t="shared" si="22"/>
        <v>7088.0406253113224</v>
      </c>
      <c r="Y20" s="183">
        <f t="shared" si="22"/>
        <v>7158.9210315644359</v>
      </c>
      <c r="Z20" s="183"/>
      <c r="AA20" s="183"/>
      <c r="AB20" s="183"/>
      <c r="AC20" s="183"/>
      <c r="AD20" s="183"/>
      <c r="AE20" s="183"/>
      <c r="AF20" s="183"/>
      <c r="AG20" s="183"/>
    </row>
    <row r="21" spans="2:33" x14ac:dyDescent="0.25">
      <c r="B21" s="189" t="s">
        <v>492</v>
      </c>
      <c r="C21" s="183">
        <f>IF(C5&lt;=IN!$C$47,IN!$C$30,0)</f>
        <v>2496</v>
      </c>
      <c r="D21" s="183">
        <f t="shared" si="21"/>
        <v>2520.96</v>
      </c>
      <c r="E21" s="183">
        <f t="shared" si="22"/>
        <v>2546.1696000000002</v>
      </c>
      <c r="F21" s="183">
        <f t="shared" si="22"/>
        <v>2571.631296</v>
      </c>
      <c r="G21" s="183">
        <f t="shared" si="22"/>
        <v>2597.3476089599999</v>
      </c>
      <c r="H21" s="183">
        <f t="shared" si="22"/>
        <v>2623.3210850495998</v>
      </c>
      <c r="I21" s="183">
        <f t="shared" si="22"/>
        <v>2649.5542959000959</v>
      </c>
      <c r="J21" s="183">
        <f t="shared" si="22"/>
        <v>2676.0498388590968</v>
      </c>
      <c r="K21" s="183">
        <f t="shared" si="22"/>
        <v>2702.8103372476876</v>
      </c>
      <c r="L21" s="183">
        <f t="shared" si="22"/>
        <v>2729.8384406201644</v>
      </c>
      <c r="M21" s="183">
        <f t="shared" si="22"/>
        <v>2757.1368250263658</v>
      </c>
      <c r="N21" s="183">
        <f t="shared" si="22"/>
        <v>2784.7081932766296</v>
      </c>
      <c r="O21" s="183">
        <f t="shared" si="22"/>
        <v>2812.5552752093959</v>
      </c>
      <c r="P21" s="183">
        <f t="shared" si="22"/>
        <v>2840.6808279614897</v>
      </c>
      <c r="Q21" s="183">
        <f t="shared" si="22"/>
        <v>2869.0876362411045</v>
      </c>
      <c r="R21" s="183">
        <f t="shared" si="22"/>
        <v>2897.7785126035155</v>
      </c>
      <c r="S21" s="183">
        <f t="shared" si="22"/>
        <v>2926.7562977295506</v>
      </c>
      <c r="T21" s="183">
        <f t="shared" si="22"/>
        <v>2956.0238607068463</v>
      </c>
      <c r="U21" s="183">
        <f t="shared" si="22"/>
        <v>2985.584099313915</v>
      </c>
      <c r="V21" s="183">
        <f t="shared" si="22"/>
        <v>3015.4399403070543</v>
      </c>
      <c r="W21" s="183">
        <f t="shared" si="22"/>
        <v>3045.5943397101246</v>
      </c>
      <c r="X21" s="183">
        <f t="shared" si="22"/>
        <v>3076.0502831072258</v>
      </c>
      <c r="Y21" s="183">
        <f t="shared" si="22"/>
        <v>3106.8107859382981</v>
      </c>
      <c r="Z21" s="183"/>
      <c r="AA21" s="183"/>
      <c r="AB21" s="183"/>
      <c r="AC21" s="183"/>
      <c r="AD21" s="183"/>
      <c r="AE21" s="183"/>
      <c r="AF21" s="183"/>
      <c r="AG21" s="183"/>
    </row>
    <row r="22" spans="2:33" x14ac:dyDescent="0.25">
      <c r="B22" s="189" t="s">
        <v>493</v>
      </c>
      <c r="C22" s="183">
        <f>IF(C5&lt;=IN!$C$47,IN!$C$31,0)</f>
        <v>3118.5</v>
      </c>
      <c r="D22" s="183">
        <f t="shared" si="21"/>
        <v>3149.6849999999999</v>
      </c>
      <c r="E22" s="183">
        <f t="shared" si="22"/>
        <v>3181.1818499999999</v>
      </c>
      <c r="F22" s="183">
        <f t="shared" si="22"/>
        <v>3212.9936684999998</v>
      </c>
      <c r="G22" s="183">
        <f t="shared" si="22"/>
        <v>3245.1236051849996</v>
      </c>
      <c r="H22" s="183">
        <f t="shared" si="22"/>
        <v>3277.5748412368498</v>
      </c>
      <c r="I22" s="183">
        <f t="shared" si="22"/>
        <v>3310.3505896492184</v>
      </c>
      <c r="J22" s="183">
        <f t="shared" si="22"/>
        <v>3343.4540955457105</v>
      </c>
      <c r="K22" s="183">
        <f t="shared" si="22"/>
        <v>3376.8886365011676</v>
      </c>
      <c r="L22" s="183">
        <f t="shared" si="22"/>
        <v>3410.6575228661795</v>
      </c>
      <c r="M22" s="183">
        <f t="shared" si="22"/>
        <v>3444.7640980948413</v>
      </c>
      <c r="N22" s="183">
        <f t="shared" si="22"/>
        <v>3479.2117390757899</v>
      </c>
      <c r="O22" s="183">
        <f t="shared" si="22"/>
        <v>3514.0038564665479</v>
      </c>
      <c r="P22" s="183">
        <f t="shared" si="22"/>
        <v>3549.1438950312136</v>
      </c>
      <c r="Q22" s="183">
        <f t="shared" si="22"/>
        <v>3584.6353339815255</v>
      </c>
      <c r="R22" s="183">
        <f t="shared" si="22"/>
        <v>3620.4816873213408</v>
      </c>
      <c r="S22" s="183">
        <f t="shared" si="22"/>
        <v>3656.6865041945543</v>
      </c>
      <c r="T22" s="183">
        <f t="shared" si="22"/>
        <v>3693.2533692365</v>
      </c>
      <c r="U22" s="183">
        <f t="shared" si="22"/>
        <v>3730.1859029288648</v>
      </c>
      <c r="V22" s="183">
        <f t="shared" si="22"/>
        <v>3767.4877619581534</v>
      </c>
      <c r="W22" s="183">
        <f t="shared" si="22"/>
        <v>3805.1626395777348</v>
      </c>
      <c r="X22" s="183">
        <f t="shared" si="22"/>
        <v>3843.2142659735123</v>
      </c>
      <c r="Y22" s="183">
        <f t="shared" si="22"/>
        <v>3881.6464086332476</v>
      </c>
      <c r="Z22" s="183"/>
      <c r="AA22" s="183"/>
      <c r="AB22" s="183"/>
      <c r="AC22" s="183"/>
      <c r="AD22" s="183"/>
      <c r="AE22" s="183"/>
      <c r="AF22" s="183"/>
      <c r="AG22" s="183"/>
    </row>
    <row r="23" spans="2:33" x14ac:dyDescent="0.25">
      <c r="B23" s="189" t="s">
        <v>494</v>
      </c>
      <c r="C23" s="183">
        <f>IF(C5&lt;=IN!$C$47,IN!$C$32,0)</f>
        <v>12474</v>
      </c>
      <c r="D23" s="183">
        <f t="shared" si="21"/>
        <v>12598.74</v>
      </c>
      <c r="E23" s="183">
        <f t="shared" si="22"/>
        <v>12724.7274</v>
      </c>
      <c r="F23" s="183">
        <f t="shared" si="22"/>
        <v>12851.974673999999</v>
      </c>
      <c r="G23" s="183">
        <f t="shared" si="22"/>
        <v>12980.494420739999</v>
      </c>
      <c r="H23" s="183">
        <f t="shared" si="22"/>
        <v>13110.299364947399</v>
      </c>
      <c r="I23" s="183">
        <f t="shared" si="22"/>
        <v>13241.402358596873</v>
      </c>
      <c r="J23" s="183">
        <f t="shared" si="22"/>
        <v>13373.816382182842</v>
      </c>
      <c r="K23" s="183">
        <f t="shared" si="22"/>
        <v>13507.554546004671</v>
      </c>
      <c r="L23" s="183">
        <f t="shared" si="22"/>
        <v>13642.630091464718</v>
      </c>
      <c r="M23" s="183">
        <f t="shared" si="22"/>
        <v>13779.056392379365</v>
      </c>
      <c r="N23" s="183">
        <f t="shared" si="22"/>
        <v>13916.846956303159</v>
      </c>
      <c r="O23" s="183">
        <f t="shared" si="22"/>
        <v>14056.015425866191</v>
      </c>
      <c r="P23" s="183">
        <f t="shared" si="22"/>
        <v>14196.575580124854</v>
      </c>
      <c r="Q23" s="183">
        <f t="shared" si="22"/>
        <v>14338.541335926102</v>
      </c>
      <c r="R23" s="183">
        <f t="shared" si="22"/>
        <v>14481.926749285363</v>
      </c>
      <c r="S23" s="183">
        <f t="shared" si="22"/>
        <v>14626.746016778217</v>
      </c>
      <c r="T23" s="183">
        <f t="shared" si="22"/>
        <v>14773.013476946</v>
      </c>
      <c r="U23" s="183">
        <f t="shared" si="22"/>
        <v>14920.743611715459</v>
      </c>
      <c r="V23" s="183">
        <f t="shared" si="22"/>
        <v>15069.951047832614</v>
      </c>
      <c r="W23" s="183">
        <f t="shared" si="22"/>
        <v>15220.650558310939</v>
      </c>
      <c r="X23" s="183">
        <f t="shared" si="22"/>
        <v>15372.857063894049</v>
      </c>
      <c r="Y23" s="183">
        <f t="shared" si="22"/>
        <v>15526.58563453299</v>
      </c>
      <c r="Z23" s="183"/>
      <c r="AA23" s="183"/>
      <c r="AB23" s="183"/>
      <c r="AC23" s="183"/>
      <c r="AD23" s="183"/>
      <c r="AE23" s="183"/>
      <c r="AF23" s="183"/>
      <c r="AG23" s="183"/>
    </row>
    <row r="24" spans="2:33" x14ac:dyDescent="0.25">
      <c r="B24" s="189" t="s">
        <v>495</v>
      </c>
      <c r="C24" s="183">
        <f>IF(C5&lt;=IN!$C$47,IN!$C$34,0)</f>
        <v>3118.5</v>
      </c>
      <c r="D24" s="183">
        <f t="shared" si="21"/>
        <v>3149.6849999999999</v>
      </c>
      <c r="E24" s="183">
        <f t="shared" si="22"/>
        <v>3181.1818499999999</v>
      </c>
      <c r="F24" s="183">
        <f t="shared" si="22"/>
        <v>3212.9936684999998</v>
      </c>
      <c r="G24" s="183">
        <f t="shared" si="22"/>
        <v>3245.1236051849996</v>
      </c>
      <c r="H24" s="183">
        <f t="shared" si="22"/>
        <v>3277.5748412368498</v>
      </c>
      <c r="I24" s="183">
        <f t="shared" si="22"/>
        <v>3310.3505896492184</v>
      </c>
      <c r="J24" s="183">
        <f t="shared" si="22"/>
        <v>3343.4540955457105</v>
      </c>
      <c r="K24" s="183">
        <f t="shared" si="22"/>
        <v>3376.8886365011676</v>
      </c>
      <c r="L24" s="183">
        <f t="shared" si="22"/>
        <v>3410.6575228661795</v>
      </c>
      <c r="M24" s="183">
        <f t="shared" si="22"/>
        <v>3444.7640980948413</v>
      </c>
      <c r="N24" s="183">
        <f t="shared" si="22"/>
        <v>3479.2117390757899</v>
      </c>
      <c r="O24" s="183">
        <f t="shared" si="22"/>
        <v>3514.0038564665479</v>
      </c>
      <c r="P24" s="183">
        <f t="shared" si="22"/>
        <v>3549.1438950312136</v>
      </c>
      <c r="Q24" s="183">
        <f t="shared" si="22"/>
        <v>3584.6353339815255</v>
      </c>
      <c r="R24" s="183">
        <f t="shared" si="22"/>
        <v>3620.4816873213408</v>
      </c>
      <c r="S24" s="183">
        <f t="shared" si="22"/>
        <v>3656.6865041945543</v>
      </c>
      <c r="T24" s="183">
        <f t="shared" si="22"/>
        <v>3693.2533692365</v>
      </c>
      <c r="U24" s="183">
        <f t="shared" si="22"/>
        <v>3730.1859029288648</v>
      </c>
      <c r="V24" s="183">
        <f t="shared" si="22"/>
        <v>3767.4877619581534</v>
      </c>
      <c r="W24" s="183">
        <f t="shared" si="22"/>
        <v>3805.1626395777348</v>
      </c>
      <c r="X24" s="183">
        <f t="shared" si="22"/>
        <v>3843.2142659735123</v>
      </c>
      <c r="Y24" s="183">
        <f t="shared" si="22"/>
        <v>3881.6464086332476</v>
      </c>
      <c r="Z24" s="183"/>
      <c r="AA24" s="183"/>
      <c r="AB24" s="183"/>
      <c r="AC24" s="183"/>
      <c r="AD24" s="183"/>
      <c r="AE24" s="183"/>
      <c r="AF24" s="183"/>
      <c r="AG24" s="183"/>
    </row>
    <row r="25" spans="2:33" x14ac:dyDescent="0.25">
      <c r="B25" s="189" t="s">
        <v>548</v>
      </c>
      <c r="C25" s="183"/>
      <c r="D25" s="183"/>
      <c r="E25" s="183"/>
      <c r="F25" s="183"/>
      <c r="G25" s="183"/>
      <c r="H25" s="183"/>
      <c r="I25" s="183"/>
      <c r="J25" s="183">
        <v>30000</v>
      </c>
      <c r="K25" s="183"/>
      <c r="L25" s="183"/>
      <c r="M25" s="183"/>
      <c r="N25" s="183"/>
      <c r="O25" s="183"/>
      <c r="P25" s="183">
        <v>30000</v>
      </c>
      <c r="Q25" s="183"/>
      <c r="R25" s="183"/>
      <c r="S25" s="183"/>
      <c r="T25" s="183"/>
      <c r="U25" s="183"/>
      <c r="V25" s="183"/>
      <c r="W25" s="183"/>
      <c r="X25" s="183"/>
      <c r="Y25" s="183"/>
      <c r="Z25" s="183"/>
      <c r="AA25" s="183"/>
      <c r="AB25" s="183"/>
      <c r="AC25" s="183"/>
      <c r="AD25" s="183"/>
      <c r="AE25" s="183"/>
      <c r="AF25" s="183"/>
      <c r="AG25" s="183"/>
    </row>
    <row r="26" spans="2:33" x14ac:dyDescent="0.25">
      <c r="B26" s="189" t="s">
        <v>545</v>
      </c>
      <c r="C26" s="183">
        <f>IF(C5&lt;=IN!$C$47,IN!$C$35,0)</f>
        <v>38000</v>
      </c>
      <c r="D26" s="183">
        <f t="shared" si="21"/>
        <v>38380</v>
      </c>
      <c r="E26" s="183">
        <f t="shared" si="22"/>
        <v>38763.800000000003</v>
      </c>
      <c r="F26" s="183">
        <f t="shared" si="22"/>
        <v>39151.438000000002</v>
      </c>
      <c r="G26" s="183">
        <f t="shared" si="22"/>
        <v>39542.952380000002</v>
      </c>
      <c r="H26" s="183">
        <f t="shared" si="22"/>
        <v>39938.3819038</v>
      </c>
      <c r="I26" s="183">
        <f t="shared" si="22"/>
        <v>40337.765722837998</v>
      </c>
      <c r="J26" s="183">
        <f t="shared" si="22"/>
        <v>40741.14338006638</v>
      </c>
      <c r="K26" s="183">
        <f t="shared" si="22"/>
        <v>41148.554813867042</v>
      </c>
      <c r="L26" s="183">
        <f t="shared" si="22"/>
        <v>41560.040362005711</v>
      </c>
      <c r="M26" s="183">
        <f t="shared" si="22"/>
        <v>41975.640765625765</v>
      </c>
      <c r="N26" s="183">
        <f t="shared" si="22"/>
        <v>42395.397173282021</v>
      </c>
      <c r="O26" s="183">
        <f t="shared" si="22"/>
        <v>42819.351145014843</v>
      </c>
      <c r="P26" s="183">
        <f t="shared" si="22"/>
        <v>43247.54465646499</v>
      </c>
      <c r="Q26" s="183">
        <f t="shared" si="22"/>
        <v>43680.020103029638</v>
      </c>
      <c r="R26" s="183">
        <f t="shared" si="22"/>
        <v>44116.820304059933</v>
      </c>
      <c r="S26" s="183">
        <f t="shared" si="22"/>
        <v>44557.988507100534</v>
      </c>
      <c r="T26" s="183">
        <f t="shared" si="22"/>
        <v>45003.568392171539</v>
      </c>
      <c r="U26" s="183">
        <f t="shared" si="22"/>
        <v>45453.604076093252</v>
      </c>
      <c r="V26" s="183">
        <f t="shared" si="22"/>
        <v>45908.140116854185</v>
      </c>
      <c r="W26" s="183">
        <f t="shared" si="22"/>
        <v>46367.221518022729</v>
      </c>
      <c r="X26" s="183">
        <f t="shared" si="22"/>
        <v>46830.893733202953</v>
      </c>
      <c r="Y26" s="183">
        <f t="shared" si="22"/>
        <v>47299.202670534985</v>
      </c>
      <c r="Z26" s="183"/>
      <c r="AA26" s="183"/>
      <c r="AB26" s="183"/>
      <c r="AC26" s="183"/>
      <c r="AD26" s="183"/>
      <c r="AE26" s="183"/>
      <c r="AF26" s="183"/>
      <c r="AG26" s="183"/>
    </row>
    <row r="27" spans="2:33" x14ac:dyDescent="0.25">
      <c r="B27" s="189" t="s">
        <v>503</v>
      </c>
      <c r="C27" s="183">
        <f>IF(C5&lt;=IN!$C$47,IN!$C$33,0)</f>
        <v>48000</v>
      </c>
      <c r="D27" s="183">
        <f t="shared" si="21"/>
        <v>48480</v>
      </c>
      <c r="E27" s="183">
        <f t="shared" si="22"/>
        <v>48964.800000000003</v>
      </c>
      <c r="F27" s="183">
        <f t="shared" si="22"/>
        <v>49454.448000000004</v>
      </c>
      <c r="G27" s="183">
        <f t="shared" si="22"/>
        <v>49948.992480000001</v>
      </c>
      <c r="H27" s="183">
        <f t="shared" si="22"/>
        <v>50448.482404800001</v>
      </c>
      <c r="I27" s="183">
        <f t="shared" si="22"/>
        <v>50952.967228848</v>
      </c>
      <c r="J27" s="183">
        <f t="shared" si="22"/>
        <v>51462.496901136481</v>
      </c>
      <c r="K27" s="183">
        <f t="shared" si="22"/>
        <v>51977.121870147843</v>
      </c>
      <c r="L27" s="183">
        <f t="shared" si="22"/>
        <v>52496.89308884932</v>
      </c>
      <c r="M27" s="183">
        <f t="shared" si="22"/>
        <v>53021.862019737811</v>
      </c>
      <c r="N27" s="183">
        <f t="shared" si="22"/>
        <v>53552.080639935186</v>
      </c>
      <c r="O27" s="183">
        <f t="shared" si="22"/>
        <v>54087.601446334535</v>
      </c>
      <c r="P27" s="183">
        <f t="shared" si="22"/>
        <v>54628.477460797883</v>
      </c>
      <c r="Q27" s="183">
        <f t="shared" si="22"/>
        <v>55174.762235405862</v>
      </c>
      <c r="R27" s="183">
        <f t="shared" si="22"/>
        <v>55726.50985775992</v>
      </c>
      <c r="S27" s="183">
        <f t="shared" si="22"/>
        <v>56283.774956337518</v>
      </c>
      <c r="T27" s="183">
        <f t="shared" si="22"/>
        <v>56846.612705900894</v>
      </c>
      <c r="U27" s="183">
        <f t="shared" si="22"/>
        <v>57415.078832959902</v>
      </c>
      <c r="V27" s="183">
        <f t="shared" si="22"/>
        <v>57989.229621289502</v>
      </c>
      <c r="W27" s="183">
        <f t="shared" si="22"/>
        <v>58569.121917502394</v>
      </c>
      <c r="X27" s="183">
        <f t="shared" si="22"/>
        <v>59154.813136677418</v>
      </c>
      <c r="Y27" s="183">
        <f t="shared" si="22"/>
        <v>59746.361268044195</v>
      </c>
      <c r="Z27" s="183"/>
      <c r="AA27" s="183"/>
      <c r="AB27" s="183"/>
      <c r="AC27" s="183"/>
      <c r="AD27" s="183"/>
      <c r="AE27" s="183"/>
      <c r="AF27" s="183"/>
      <c r="AG27" s="183"/>
    </row>
    <row r="28" spans="2:33" x14ac:dyDescent="0.25">
      <c r="B28" s="190" t="s">
        <v>496</v>
      </c>
      <c r="C28" s="183">
        <f>IF(C5&lt;=IN!$C$47,IN!$C$39,0)</f>
        <v>5000</v>
      </c>
      <c r="D28" s="183">
        <f>C28+(C28*1%)</f>
        <v>5050</v>
      </c>
      <c r="E28" s="183">
        <f t="shared" ref="E28:V28" si="23">D28+(D28*1%)</f>
        <v>5100.5</v>
      </c>
      <c r="F28" s="183">
        <f t="shared" si="23"/>
        <v>5151.5050000000001</v>
      </c>
      <c r="G28" s="183">
        <f t="shared" si="23"/>
        <v>5203.0200500000001</v>
      </c>
      <c r="H28" s="183">
        <f t="shared" si="23"/>
        <v>5255.0502505000004</v>
      </c>
      <c r="I28" s="183">
        <f t="shared" si="23"/>
        <v>5307.6007530050001</v>
      </c>
      <c r="J28" s="183">
        <f t="shared" si="23"/>
        <v>5360.6767605350506</v>
      </c>
      <c r="K28" s="183">
        <f t="shared" si="23"/>
        <v>5414.2835281404014</v>
      </c>
      <c r="L28" s="183">
        <f t="shared" si="23"/>
        <v>5468.426363421805</v>
      </c>
      <c r="M28" s="183">
        <f t="shared" si="23"/>
        <v>5523.1106270560231</v>
      </c>
      <c r="N28" s="183">
        <f t="shared" si="23"/>
        <v>5578.3417333265834</v>
      </c>
      <c r="O28" s="183">
        <f t="shared" si="23"/>
        <v>5634.1251506598492</v>
      </c>
      <c r="P28" s="183">
        <f t="shared" si="23"/>
        <v>5690.4664021664476</v>
      </c>
      <c r="Q28" s="183">
        <f t="shared" si="23"/>
        <v>5747.3710661881123</v>
      </c>
      <c r="R28" s="183">
        <f t="shared" si="23"/>
        <v>5804.8447768499937</v>
      </c>
      <c r="S28" s="183">
        <f t="shared" si="23"/>
        <v>5862.8932246184932</v>
      </c>
      <c r="T28" s="183">
        <f t="shared" si="23"/>
        <v>5921.5221568646784</v>
      </c>
      <c r="U28" s="183">
        <f t="shared" si="23"/>
        <v>5980.7373784333249</v>
      </c>
      <c r="V28" s="183">
        <f t="shared" si="23"/>
        <v>6040.5447522176582</v>
      </c>
      <c r="W28" s="183">
        <f t="shared" ref="W28" si="24">V28+(V28*1%)</f>
        <v>6100.9501997398347</v>
      </c>
      <c r="X28" s="183">
        <f t="shared" ref="X28" si="25">W28+(W28*1%)</f>
        <v>6161.9597017372334</v>
      </c>
      <c r="Y28" s="183">
        <f t="shared" ref="Y28" si="26">X28+(X28*1%)</f>
        <v>6223.5792987546056</v>
      </c>
      <c r="Z28" s="183">
        <f>IF(Z5&lt;=IN!$C$47,IN!#REF!*IN!$C$15,0)</f>
        <v>0</v>
      </c>
      <c r="AA28" s="183">
        <f>IF(AA5&lt;=IN!$C$47,IN!#REF!*IN!$C$15,0)</f>
        <v>0</v>
      </c>
      <c r="AB28" s="183">
        <f>IF(AB5&lt;=IN!$C$47,IN!#REF!*IN!$C$15,0)</f>
        <v>0</v>
      </c>
      <c r="AC28" s="183">
        <f>IF(AC5&lt;=IN!$C$47,IN!#REF!*IN!$C$15,0)</f>
        <v>0</v>
      </c>
      <c r="AD28" s="183">
        <f>IF(AD5&lt;=IN!$C$47,IN!#REF!*IN!$C$15,0)</f>
        <v>0</v>
      </c>
      <c r="AE28" s="183">
        <f>IF(AE5&lt;=IN!$C$47,IN!#REF!*IN!$C$15,0)</f>
        <v>0</v>
      </c>
      <c r="AF28" s="183">
        <f>IF(AF5&lt;=IN!$C$47,IN!#REF!*IN!$C$15,0)</f>
        <v>0</v>
      </c>
      <c r="AG28" s="183"/>
    </row>
    <row r="29" spans="2:33" s="428" customFormat="1" x14ac:dyDescent="0.25">
      <c r="B29" s="429" t="s">
        <v>214</v>
      </c>
      <c r="C29" s="431">
        <f t="shared" ref="C29:AF29" si="27">SUM(C16:C28)</f>
        <v>642164.49999999988</v>
      </c>
      <c r="D29" s="431">
        <f t="shared" si="27"/>
        <v>383914.37747000001</v>
      </c>
      <c r="E29" s="431">
        <f t="shared" si="27"/>
        <v>389617.29111189995</v>
      </c>
      <c r="F29" s="431">
        <f t="shared" si="27"/>
        <v>395414.50928756292</v>
      </c>
      <c r="G29" s="431">
        <f t="shared" si="27"/>
        <v>401307.7205502736</v>
      </c>
      <c r="H29" s="431">
        <f t="shared" si="27"/>
        <v>407298.64524900785</v>
      </c>
      <c r="I29" s="431">
        <f t="shared" si="27"/>
        <v>413389.03614459414</v>
      </c>
      <c r="J29" s="431">
        <f t="shared" si="27"/>
        <v>449580.67903799808</v>
      </c>
      <c r="K29" s="431">
        <f t="shared" si="27"/>
        <v>425875.3934109754</v>
      </c>
      <c r="L29" s="431">
        <f t="shared" si="27"/>
        <v>432275.03307933436</v>
      </c>
      <c r="M29" s="431">
        <f t="shared" si="27"/>
        <v>438781.48685906199</v>
      </c>
      <c r="N29" s="431">
        <f t="shared" si="27"/>
        <v>445396.67924556561</v>
      </c>
      <c r="O29" s="431">
        <f t="shared" si="27"/>
        <v>452122.57110629242</v>
      </c>
      <c r="P29" s="431">
        <f t="shared" si="27"/>
        <v>488961.1603869918</v>
      </c>
      <c r="Q29" s="431">
        <f t="shared" si="27"/>
        <v>465914.4828318911</v>
      </c>
      <c r="R29" s="431">
        <f t="shared" si="27"/>
        <v>472984.61271806003</v>
      </c>
      <c r="S29" s="431">
        <f t="shared" si="27"/>
        <v>480173.66360424762</v>
      </c>
      <c r="T29" s="431">
        <f t="shared" si="27"/>
        <v>487483.78909447702</v>
      </c>
      <c r="U29" s="431">
        <f t="shared" si="27"/>
        <v>494917.18361669267</v>
      </c>
      <c r="V29" s="431">
        <f t="shared" si="27"/>
        <v>502476.08321675571</v>
      </c>
      <c r="W29" s="431">
        <f t="shared" si="27"/>
        <v>510162.76636809745</v>
      </c>
      <c r="X29" s="431">
        <f t="shared" si="27"/>
        <v>517979.55479733605</v>
      </c>
      <c r="Y29" s="431">
        <f t="shared" si="27"/>
        <v>525928.81432617817</v>
      </c>
      <c r="Z29" s="431">
        <f t="shared" si="27"/>
        <v>0</v>
      </c>
      <c r="AA29" s="431">
        <f t="shared" si="27"/>
        <v>0</v>
      </c>
      <c r="AB29" s="431">
        <f t="shared" si="27"/>
        <v>0</v>
      </c>
      <c r="AC29" s="431">
        <f t="shared" si="27"/>
        <v>0</v>
      </c>
      <c r="AD29" s="431">
        <f t="shared" si="27"/>
        <v>0</v>
      </c>
      <c r="AE29" s="431">
        <f t="shared" si="27"/>
        <v>0</v>
      </c>
      <c r="AF29" s="431">
        <f t="shared" si="27"/>
        <v>0</v>
      </c>
      <c r="AG29" s="431"/>
    </row>
    <row r="30" spans="2:33" x14ac:dyDescent="0.25">
      <c r="B30" s="195" t="s">
        <v>215</v>
      </c>
      <c r="C30" s="385">
        <f t="shared" ref="C30:AF30" si="28">C15-C29</f>
        <v>211883.59892331541</v>
      </c>
      <c r="D30" s="385">
        <f t="shared" si="28"/>
        <v>476873.24417651532</v>
      </c>
      <c r="E30" s="385">
        <f t="shared" si="28"/>
        <v>478013.95541227941</v>
      </c>
      <c r="F30" s="385">
        <f t="shared" si="28"/>
        <v>479166.23942883371</v>
      </c>
      <c r="G30" s="385">
        <f t="shared" si="28"/>
        <v>480330.21526735468</v>
      </c>
      <c r="H30" s="385">
        <f t="shared" si="28"/>
        <v>481506.00322569849</v>
      </c>
      <c r="I30" s="385">
        <f t="shared" si="28"/>
        <v>482693.72487229138</v>
      </c>
      <c r="J30" s="385">
        <f t="shared" si="28"/>
        <v>453893.50306019012</v>
      </c>
      <c r="K30" s="385">
        <f t="shared" si="28"/>
        <v>485105.46194130363</v>
      </c>
      <c r="L30" s="385">
        <f t="shared" si="28"/>
        <v>486329.72698079137</v>
      </c>
      <c r="M30" s="385">
        <f t="shared" si="28"/>
        <v>487566.424971628</v>
      </c>
      <c r="N30" s="385">
        <f t="shared" si="28"/>
        <v>488815.68404934619</v>
      </c>
      <c r="O30" s="385">
        <f t="shared" si="28"/>
        <v>490077.63370695442</v>
      </c>
      <c r="P30" s="385">
        <f t="shared" si="28"/>
        <v>461352.40481003386</v>
      </c>
      <c r="Q30" s="385">
        <f t="shared" si="28"/>
        <v>492640.12961201655</v>
      </c>
      <c r="R30" s="385">
        <f t="shared" si="28"/>
        <v>493940.94176964939</v>
      </c>
      <c r="S30" s="385">
        <f t="shared" si="28"/>
        <v>495254.97635864164</v>
      </c>
      <c r="T30" s="385">
        <f t="shared" si="28"/>
        <v>496582.36988950259</v>
      </c>
      <c r="U30" s="385">
        <f t="shared" si="28"/>
        <v>497923.26032357011</v>
      </c>
      <c r="V30" s="385">
        <f t="shared" si="28"/>
        <v>499277.78708923439</v>
      </c>
      <c r="W30" s="385">
        <f t="shared" si="28"/>
        <v>500646.09109835647</v>
      </c>
      <c r="X30" s="385">
        <f t="shared" si="28"/>
        <v>502028.31476288725</v>
      </c>
      <c r="Y30" s="385">
        <f t="shared" si="28"/>
        <v>503424.60201168677</v>
      </c>
      <c r="Z30" s="385">
        <f t="shared" si="28"/>
        <v>0</v>
      </c>
      <c r="AA30" s="385">
        <f t="shared" si="28"/>
        <v>0</v>
      </c>
      <c r="AB30" s="385">
        <f t="shared" si="28"/>
        <v>0</v>
      </c>
      <c r="AC30" s="385">
        <f t="shared" si="28"/>
        <v>0</v>
      </c>
      <c r="AD30" s="385">
        <f t="shared" si="28"/>
        <v>0</v>
      </c>
      <c r="AE30" s="385">
        <f t="shared" si="28"/>
        <v>0</v>
      </c>
      <c r="AF30" s="385">
        <f t="shared" si="28"/>
        <v>0</v>
      </c>
      <c r="AG30" s="400"/>
    </row>
    <row r="31" spans="2:33" x14ac:dyDescent="0.25">
      <c r="B31" s="386" t="s">
        <v>216</v>
      </c>
      <c r="C31" s="387">
        <f>IF(C5&lt;=IN!$C$47,'CE CC opz1'!C30/'CE CC opz1'!C15,"")</f>
        <v>0.24809328560116656</v>
      </c>
      <c r="D31" s="387">
        <f>IF(D5&lt;=IN!$C$47,'CE CC opz1'!D30/'CE CC opz1'!D15,"")</f>
        <v>0.55399640072001932</v>
      </c>
      <c r="E31" s="387">
        <f>IF(E5&lt;=IN!$C$47,'CE CC opz1'!E30/'CE CC opz1'!E15,"")</f>
        <v>0.55094137898704409</v>
      </c>
      <c r="F31" s="387">
        <f>IF(F5&lt;=IN!$C$47,'CE CC opz1'!F30/'CE CC opz1'!F15,"")</f>
        <v>0.54788107345387571</v>
      </c>
      <c r="G31" s="387">
        <f>IF(G5&lt;=IN!$C$47,'CE CC opz1'!G30/'CE CC opz1'!G15,"")</f>
        <v>0.54481572962476699</v>
      </c>
      <c r="H31" s="387">
        <f>IF(H5&lt;=IN!$C$47,'CE CC opz1'!H30/'CE CC opz1'!H15,"")</f>
        <v>0.54174559511138876</v>
      </c>
      <c r="I31" s="387">
        <f>IF(I5&lt;=IN!$C$47,'CE CC opz1'!I30/'CE CC opz1'!I15,"")</f>
        <v>0.53867091955270374</v>
      </c>
      <c r="J31" s="387">
        <f>IF(J5&lt;=IN!$C$47,'CE CC opz1'!J30/'CE CC opz1'!J15,"")</f>
        <v>0.5023867998154502</v>
      </c>
      <c r="K31" s="387">
        <f>IF(K5&lt;=IN!$C$47,'CE CC opz1'!K30/'CE CC opz1'!K15,"")</f>
        <v>0.53250895349904126</v>
      </c>
      <c r="L31" s="387">
        <f>IF(L5&lt;=IN!$C$47,'CE CC opz1'!L30/'CE CC opz1'!L15,"")</f>
        <v>0.52942217167365813</v>
      </c>
      <c r="M31" s="387">
        <f>IF(M5&lt;=IN!$C$47,'CE CC opz1'!M30/'CE CC opz1'!M15,"")</f>
        <v>0.52633186597039716</v>
      </c>
      <c r="N31" s="387">
        <f>IF(N5&lt;=IN!$C$47,'CE CC opz1'!N30/'CE CC opz1'!N15,"")</f>
        <v>0.52323829490472828</v>
      </c>
      <c r="O31" s="387">
        <f>IF(O5&lt;=IN!$C$47,'CE CC opz1'!O30/'CE CC opz1'!O15,"")</f>
        <v>0.52014171850460644</v>
      </c>
      <c r="P31" s="387">
        <f>IF(P5&lt;=IN!$C$47,'CE CC opz1'!P30/'CE CC opz1'!P15,"")</f>
        <v>0.48547387063172465</v>
      </c>
      <c r="Q31" s="387">
        <f>IF(Q5&lt;=IN!$C$47,'CE CC opz1'!Q30/'CE CC opz1'!Q15,"")</f>
        <v>0.51394059682837812</v>
      </c>
      <c r="R31" s="387">
        <f>IF(R5&lt;=IN!$C$47,'CE CC opz1'!R30/'CE CC opz1'!R15,"")</f>
        <v>0.51083657834583363</v>
      </c>
      <c r="S31" s="387">
        <f>IF(S5&lt;=IN!$C$47,'CE CC opz1'!S30/'CE CC opz1'!S15,"")</f>
        <v>0.50773060792789915</v>
      </c>
      <c r="T31" s="387">
        <f>IF(T5&lt;=IN!$C$47,'CE CC opz1'!T30/'CE CC opz1'!T15,"")</f>
        <v>0.50462295177613847</v>
      </c>
      <c r="U31" s="387">
        <f>IF(U5&lt;=IN!$C$47,'CE CC opz1'!U30/'CE CC opz1'!U15,"")</f>
        <v>0.50151387704098116</v>
      </c>
      <c r="V31" s="387">
        <f>IF(V5&lt;=IN!$C$47,'CE CC opz1'!V30/'CE CC opz1'!V15,"")</f>
        <v>0.49840365172407852</v>
      </c>
      <c r="W31" s="387">
        <f>IF(W5&lt;=IN!$C$47,'CE CC opz1'!W30/'CE CC opz1'!W15,"")</f>
        <v>0.49529254457979616</v>
      </c>
      <c r="X31" s="387">
        <f>IF(X5&lt;=IN!$C$47,'CE CC opz1'!X30/'CE CC opz1'!X15,"")</f>
        <v>0.49218082501592553</v>
      </c>
      <c r="Y31" s="387">
        <f>IF(Y5&lt;=IN!$C$47,'CE CC opz1'!Y30/'CE CC opz1'!Y15,"")</f>
        <v>0.48906876299368846</v>
      </c>
      <c r="Z31" s="387" t="str">
        <f>IF(Z5&lt;=IN!$C$47,'CE CC opz1'!Z30/'CE CC opz1'!Z15,"")</f>
        <v/>
      </c>
      <c r="AA31" s="387" t="str">
        <f>IF(AA5&lt;=IN!$C$47,'CE CC opz1'!AA30/'CE CC opz1'!AA15,"")</f>
        <v/>
      </c>
      <c r="AB31" s="387" t="str">
        <f>IF(AB5&lt;=IN!$C$47,'CE CC opz1'!AB30/'CE CC opz1'!AB15,"")</f>
        <v/>
      </c>
      <c r="AC31" s="387" t="str">
        <f>IF(AC5&lt;=IN!$C$47,'CE CC opz1'!AC30/'CE CC opz1'!AC15,"")</f>
        <v/>
      </c>
      <c r="AD31" s="387" t="str">
        <f>IF(AD5&lt;=IN!$C$47,'CE CC opz1'!AD30/'CE CC opz1'!AD15,"")</f>
        <v/>
      </c>
      <c r="AE31" s="387" t="str">
        <f>IF(AE5&lt;=IN!$C$47,'CE CC opz1'!AE30/'CE CC opz1'!AE15,"")</f>
        <v/>
      </c>
      <c r="AF31" s="387" t="str">
        <f>IF(AF5&lt;=IN!$C$47,'CE CC opz1'!AF30/'CE CC opz1'!AF15,"")</f>
        <v/>
      </c>
      <c r="AG31" s="387"/>
    </row>
    <row r="32" spans="2:33" x14ac:dyDescent="0.25">
      <c r="B32" s="190" t="s">
        <v>217</v>
      </c>
      <c r="C32" s="183">
        <f>C34*C33</f>
        <v>1873.2379999999998</v>
      </c>
      <c r="D32" s="183">
        <f>D34*D33</f>
        <v>1891.97038</v>
      </c>
      <c r="E32" s="183">
        <f t="shared" ref="E32:AE32" si="29">E34*E33</f>
        <v>1910.8900838000002</v>
      </c>
      <c r="F32" s="183">
        <f t="shared" si="29"/>
        <v>1929.9989846380004</v>
      </c>
      <c r="G32" s="183">
        <f t="shared" si="29"/>
        <v>1949.2989744843801</v>
      </c>
      <c r="H32" s="183">
        <f t="shared" si="29"/>
        <v>1968.791964229224</v>
      </c>
      <c r="I32" s="183">
        <f t="shared" si="29"/>
        <v>1988.4798838715162</v>
      </c>
      <c r="J32" s="183">
        <f t="shared" si="29"/>
        <v>2008.3646827102314</v>
      </c>
      <c r="K32" s="183">
        <f t="shared" si="29"/>
        <v>2028.4483295373336</v>
      </c>
      <c r="L32" s="183">
        <f t="shared" si="29"/>
        <v>2048.7328128327067</v>
      </c>
      <c r="M32" s="183">
        <f t="shared" si="29"/>
        <v>2069.2201409610343</v>
      </c>
      <c r="N32" s="183">
        <f t="shared" si="29"/>
        <v>2089.9123423706442</v>
      </c>
      <c r="O32" s="183">
        <f t="shared" si="29"/>
        <v>2110.8114657943506</v>
      </c>
      <c r="P32" s="183">
        <f t="shared" si="29"/>
        <v>2131.9195804522942</v>
      </c>
      <c r="Q32" s="183">
        <f t="shared" si="29"/>
        <v>2153.2387762568169</v>
      </c>
      <c r="R32" s="183">
        <f t="shared" si="29"/>
        <v>2174.7711640193852</v>
      </c>
      <c r="S32" s="183">
        <f t="shared" si="29"/>
        <v>2196.518875659579</v>
      </c>
      <c r="T32" s="183">
        <f t="shared" si="29"/>
        <v>2218.484064416175</v>
      </c>
      <c r="U32" s="183">
        <f t="shared" si="29"/>
        <v>2240.6689050603368</v>
      </c>
      <c r="V32" s="183">
        <f t="shared" si="29"/>
        <v>2263.0755941109401</v>
      </c>
      <c r="W32" s="183">
        <f>W34*W33</f>
        <v>1873.2379999999998</v>
      </c>
      <c r="X32" s="183">
        <f t="shared" si="29"/>
        <v>1873.2379999999998</v>
      </c>
      <c r="Y32" s="183">
        <f t="shared" si="29"/>
        <v>1873.2379999999998</v>
      </c>
      <c r="Z32" s="183">
        <f t="shared" si="29"/>
        <v>0</v>
      </c>
      <c r="AA32" s="183">
        <f t="shared" si="29"/>
        <v>0</v>
      </c>
      <c r="AB32" s="183">
        <f t="shared" si="29"/>
        <v>0</v>
      </c>
      <c r="AC32" s="183">
        <f t="shared" si="29"/>
        <v>0</v>
      </c>
      <c r="AD32" s="183">
        <f t="shared" si="29"/>
        <v>0</v>
      </c>
      <c r="AE32" s="183">
        <f t="shared" si="29"/>
        <v>0</v>
      </c>
      <c r="AF32" s="183">
        <f>AF34*AF33</f>
        <v>0</v>
      </c>
      <c r="AG32" s="183"/>
    </row>
    <row r="33" spans="2:33" x14ac:dyDescent="0.25">
      <c r="B33" s="392" t="s">
        <v>38</v>
      </c>
      <c r="C33" s="230">
        <f>IF(C5&lt;=IN!$C$47,IN!$C$36,0)</f>
        <v>0.04</v>
      </c>
      <c r="D33" s="230">
        <f>IF(D5&lt;=IN!$C$47,IN!$C$36,0)</f>
        <v>0.04</v>
      </c>
      <c r="E33" s="230">
        <f>IF(E5&lt;=IN!$C$47,IN!$C$36,0)</f>
        <v>0.04</v>
      </c>
      <c r="F33" s="230">
        <f>IF(F5&lt;=IN!$C$47,IN!$C$36,0)</f>
        <v>0.04</v>
      </c>
      <c r="G33" s="230">
        <f>IF(G5&lt;=IN!$C$47,IN!$C$36,0)</f>
        <v>0.04</v>
      </c>
      <c r="H33" s="230">
        <f>IF(H5&lt;=IN!$C$47,IN!$C$36,0)</f>
        <v>0.04</v>
      </c>
      <c r="I33" s="230">
        <f>IF(I5&lt;=IN!$C$47,IN!$C$36,0)</f>
        <v>0.04</v>
      </c>
      <c r="J33" s="230">
        <f>IF(J5&lt;=IN!$C$47,IN!$C$36,0)</f>
        <v>0.04</v>
      </c>
      <c r="K33" s="230">
        <f>IF(K5&lt;=IN!$C$47,IN!$C$36,0)</f>
        <v>0.04</v>
      </c>
      <c r="L33" s="230">
        <f>IF(L5&lt;=IN!$C$47,IN!$C$36,0)</f>
        <v>0.04</v>
      </c>
      <c r="M33" s="230">
        <f>IF(M5&lt;=IN!$C$47,IN!$C$36,0)</f>
        <v>0.04</v>
      </c>
      <c r="N33" s="230">
        <f>IF(N5&lt;=IN!$C$47,IN!$C$36,0)</f>
        <v>0.04</v>
      </c>
      <c r="O33" s="230">
        <f>IF(O5&lt;=IN!$C$47,IN!$C$36,0)</f>
        <v>0.04</v>
      </c>
      <c r="P33" s="230">
        <f>IF(P5&lt;=IN!$C$47,IN!$C$36,0)</f>
        <v>0.04</v>
      </c>
      <c r="Q33" s="230">
        <f>IF(Q5&lt;=IN!$C$47,IN!$C$36,0)</f>
        <v>0.04</v>
      </c>
      <c r="R33" s="230">
        <f>IF(R5&lt;=IN!$C$47,IN!$C$36,0)</f>
        <v>0.04</v>
      </c>
      <c r="S33" s="230">
        <f>IF(S5&lt;=IN!$C$47,IN!$C$36,0)</f>
        <v>0.04</v>
      </c>
      <c r="T33" s="230">
        <f>IF(T5&lt;=IN!$C$47,IN!$C$36,0)</f>
        <v>0.04</v>
      </c>
      <c r="U33" s="230">
        <f>IF(U5&lt;=IN!$C$47,IN!$C$36,0)</f>
        <v>0.04</v>
      </c>
      <c r="V33" s="230">
        <f>IF(V5&lt;=IN!$C$47,IN!$C$36,0)</f>
        <v>0.04</v>
      </c>
      <c r="W33" s="230">
        <f>IF(W5&lt;=IN!$C$47,IN!$C$36,0)</f>
        <v>0.04</v>
      </c>
      <c r="X33" s="230">
        <f>IF(X5&lt;=IN!$C$47,IN!$C$36,0)</f>
        <v>0.04</v>
      </c>
      <c r="Y33" s="230">
        <f>IF(Y5&lt;=IN!$C$47,IN!$C$36,0)</f>
        <v>0.04</v>
      </c>
      <c r="Z33" s="230">
        <f>IF(Z5&lt;=IN!$C$47,IN!$C$36,0)</f>
        <v>0</v>
      </c>
      <c r="AA33" s="230">
        <f>IF(AA5&lt;=IN!$C$47,IN!$C$36,0)</f>
        <v>0</v>
      </c>
      <c r="AB33" s="230">
        <f>IF(AB5&lt;=IN!$C$47,IN!$C$36,0)</f>
        <v>0</v>
      </c>
      <c r="AC33" s="230">
        <f>IF(AC5&lt;=IN!$C$47,IN!$C$36,0)</f>
        <v>0</v>
      </c>
      <c r="AD33" s="230">
        <f>IF(AD5&lt;=IN!$C$47,IN!$C$36,0)</f>
        <v>0</v>
      </c>
      <c r="AE33" s="230">
        <f>IF(AE5&lt;=IN!$C$47,IN!$C$36,0)</f>
        <v>0</v>
      </c>
      <c r="AF33" s="230">
        <f>IF(AF5&lt;=IN!$C$47,IN!$C$36,0)</f>
        <v>0</v>
      </c>
      <c r="AG33" s="230"/>
    </row>
    <row r="34" spans="2:33" x14ac:dyDescent="0.25">
      <c r="B34" s="392" t="s">
        <v>40</v>
      </c>
      <c r="C34" s="231">
        <f>IF(C5&lt;=IN!$C$47,IN!$C$37,0)</f>
        <v>46830.95</v>
      </c>
      <c r="D34" s="231">
        <f>C34+(C34*1%)</f>
        <v>47299.2595</v>
      </c>
      <c r="E34" s="231">
        <f t="shared" ref="E34:V34" si="30">D34+(D34*1%)</f>
        <v>47772.252095000003</v>
      </c>
      <c r="F34" s="231">
        <f t="shared" si="30"/>
        <v>48249.974615950006</v>
      </c>
      <c r="G34" s="231">
        <f t="shared" si="30"/>
        <v>48732.474362109504</v>
      </c>
      <c r="H34" s="231">
        <f t="shared" si="30"/>
        <v>49219.799105730599</v>
      </c>
      <c r="I34" s="231">
        <f t="shared" si="30"/>
        <v>49711.997096787905</v>
      </c>
      <c r="J34" s="231">
        <f t="shared" si="30"/>
        <v>50209.117067755782</v>
      </c>
      <c r="K34" s="231">
        <f t="shared" si="30"/>
        <v>50711.208238433341</v>
      </c>
      <c r="L34" s="231">
        <f t="shared" si="30"/>
        <v>51218.320320817671</v>
      </c>
      <c r="M34" s="231">
        <f t="shared" si="30"/>
        <v>51730.503524025851</v>
      </c>
      <c r="N34" s="231">
        <f t="shared" si="30"/>
        <v>52247.808559266108</v>
      </c>
      <c r="O34" s="231">
        <f t="shared" si="30"/>
        <v>52770.286644858767</v>
      </c>
      <c r="P34" s="231">
        <f t="shared" si="30"/>
        <v>53297.989511307351</v>
      </c>
      <c r="Q34" s="231">
        <f t="shared" si="30"/>
        <v>53830.969406420423</v>
      </c>
      <c r="R34" s="231">
        <f t="shared" si="30"/>
        <v>54369.279100484629</v>
      </c>
      <c r="S34" s="231">
        <f t="shared" si="30"/>
        <v>54912.971891489477</v>
      </c>
      <c r="T34" s="231">
        <f t="shared" si="30"/>
        <v>55462.101610404374</v>
      </c>
      <c r="U34" s="231">
        <f t="shared" si="30"/>
        <v>56016.722626508417</v>
      </c>
      <c r="V34" s="231">
        <f t="shared" si="30"/>
        <v>56576.8898527735</v>
      </c>
      <c r="W34" s="231">
        <f>IF(W5&lt;=IN!$C$47,IN!$C$37,0)</f>
        <v>46830.95</v>
      </c>
      <c r="X34" s="231">
        <f>IF(X5&lt;=IN!$C$47,IN!$C$37,0)</f>
        <v>46830.95</v>
      </c>
      <c r="Y34" s="231">
        <f>IF(Y5&lt;=IN!$C$47,IN!$C$37,0)</f>
        <v>46830.95</v>
      </c>
      <c r="Z34" s="231">
        <f>IF(Z5&lt;=IN!$C$47,IN!$C$37,0)</f>
        <v>0</v>
      </c>
      <c r="AA34" s="231">
        <f>IF(AA5&lt;=IN!$C$47,IN!$C$37,0)</f>
        <v>0</v>
      </c>
      <c r="AB34" s="231">
        <f>IF(AB5&lt;=IN!$C$47,IN!$C$37,0)</f>
        <v>0</v>
      </c>
      <c r="AC34" s="231">
        <f>IF(AC5&lt;=IN!$C$47,IN!$C$37,0)</f>
        <v>0</v>
      </c>
      <c r="AD34" s="231">
        <f>IF(AD5&lt;=IN!$C$47,IN!$C$37,0)</f>
        <v>0</v>
      </c>
      <c r="AE34" s="231">
        <f>IF(AE5&lt;=IN!$C$47,IN!$C$37,0)</f>
        <v>0</v>
      </c>
      <c r="AF34" s="231">
        <f>IF(AF5&lt;=IN!$C$47,IN!$C$37,0)</f>
        <v>0</v>
      </c>
      <c r="AG34" s="231"/>
    </row>
    <row r="35" spans="2:33" ht="41.25" customHeight="1" x14ac:dyDescent="0.25">
      <c r="B35" s="308" t="s">
        <v>289</v>
      </c>
      <c r="C35" s="183">
        <f>IN!I38</f>
        <v>199875.78000000003</v>
      </c>
      <c r="D35" s="183">
        <v>0</v>
      </c>
      <c r="E35" s="183">
        <v>0</v>
      </c>
      <c r="F35" s="183">
        <v>0</v>
      </c>
      <c r="G35" s="183">
        <v>0</v>
      </c>
      <c r="H35" s="183">
        <v>0</v>
      </c>
      <c r="I35" s="183">
        <v>0</v>
      </c>
      <c r="J35" s="183">
        <v>0</v>
      </c>
      <c r="K35" s="183">
        <v>0</v>
      </c>
      <c r="L35" s="183">
        <v>0</v>
      </c>
      <c r="M35" s="183">
        <v>0</v>
      </c>
      <c r="N35" s="183">
        <v>0</v>
      </c>
      <c r="O35" s="183">
        <v>0</v>
      </c>
      <c r="P35" s="183">
        <v>0</v>
      </c>
      <c r="Q35" s="183">
        <v>0</v>
      </c>
      <c r="R35" s="183">
        <v>0</v>
      </c>
      <c r="S35" s="183">
        <v>0</v>
      </c>
      <c r="T35" s="183">
        <v>0</v>
      </c>
      <c r="U35" s="183">
        <v>0</v>
      </c>
      <c r="V35" s="183">
        <v>0</v>
      </c>
      <c r="W35" s="183">
        <v>0</v>
      </c>
      <c r="X35" s="183">
        <v>0</v>
      </c>
      <c r="Y35" s="183">
        <v>0</v>
      </c>
      <c r="Z35" s="183">
        <v>0</v>
      </c>
      <c r="AA35" s="183">
        <v>0</v>
      </c>
      <c r="AB35" s="183">
        <v>0</v>
      </c>
      <c r="AC35" s="183">
        <v>0</v>
      </c>
      <c r="AD35" s="183">
        <v>0</v>
      </c>
      <c r="AE35" s="183">
        <v>0</v>
      </c>
      <c r="AF35" s="183">
        <v>0</v>
      </c>
      <c r="AG35" s="183"/>
    </row>
    <row r="36" spans="2:33" s="428" customFormat="1" x14ac:dyDescent="0.25">
      <c r="B36" s="429" t="s">
        <v>218</v>
      </c>
      <c r="C36" s="431">
        <f>SUM(C32,C35)</f>
        <v>201749.01800000004</v>
      </c>
      <c r="D36" s="431">
        <f>SUM(D32,D35)</f>
        <v>1891.97038</v>
      </c>
      <c r="E36" s="431">
        <f>SUM(E32,E35)</f>
        <v>1910.8900838000002</v>
      </c>
      <c r="F36" s="431">
        <f>SUM(F32,F35)</f>
        <v>1929.9989846380004</v>
      </c>
      <c r="G36" s="431">
        <f t="shared" ref="G36:AE36" si="31">SUM(G32,G35)</f>
        <v>1949.2989744843801</v>
      </c>
      <c r="H36" s="431">
        <f t="shared" si="31"/>
        <v>1968.791964229224</v>
      </c>
      <c r="I36" s="431">
        <f t="shared" si="31"/>
        <v>1988.4798838715162</v>
      </c>
      <c r="J36" s="431">
        <f t="shared" si="31"/>
        <v>2008.3646827102314</v>
      </c>
      <c r="K36" s="431">
        <f t="shared" si="31"/>
        <v>2028.4483295373336</v>
      </c>
      <c r="L36" s="431">
        <f t="shared" si="31"/>
        <v>2048.7328128327067</v>
      </c>
      <c r="M36" s="431">
        <f t="shared" si="31"/>
        <v>2069.2201409610343</v>
      </c>
      <c r="N36" s="431">
        <f t="shared" si="31"/>
        <v>2089.9123423706442</v>
      </c>
      <c r="O36" s="431">
        <f t="shared" si="31"/>
        <v>2110.8114657943506</v>
      </c>
      <c r="P36" s="431">
        <f t="shared" si="31"/>
        <v>2131.9195804522942</v>
      </c>
      <c r="Q36" s="431">
        <f t="shared" si="31"/>
        <v>2153.2387762568169</v>
      </c>
      <c r="R36" s="431">
        <f t="shared" si="31"/>
        <v>2174.7711640193852</v>
      </c>
      <c r="S36" s="431">
        <f t="shared" si="31"/>
        <v>2196.518875659579</v>
      </c>
      <c r="T36" s="431">
        <f t="shared" si="31"/>
        <v>2218.484064416175</v>
      </c>
      <c r="U36" s="431">
        <f t="shared" si="31"/>
        <v>2240.6689050603368</v>
      </c>
      <c r="V36" s="431">
        <f>SUM(V32,V35)</f>
        <v>2263.0755941109401</v>
      </c>
      <c r="W36" s="431">
        <f t="shared" si="31"/>
        <v>1873.2379999999998</v>
      </c>
      <c r="X36" s="431">
        <f t="shared" si="31"/>
        <v>1873.2379999999998</v>
      </c>
      <c r="Y36" s="431">
        <f t="shared" si="31"/>
        <v>1873.2379999999998</v>
      </c>
      <c r="Z36" s="431">
        <f t="shared" si="31"/>
        <v>0</v>
      </c>
      <c r="AA36" s="431">
        <f t="shared" si="31"/>
        <v>0</v>
      </c>
      <c r="AB36" s="431">
        <f t="shared" si="31"/>
        <v>0</v>
      </c>
      <c r="AC36" s="431">
        <f t="shared" si="31"/>
        <v>0</v>
      </c>
      <c r="AD36" s="431">
        <f t="shared" si="31"/>
        <v>0</v>
      </c>
      <c r="AE36" s="431">
        <f t="shared" si="31"/>
        <v>0</v>
      </c>
      <c r="AF36" s="431">
        <f>SUM(AF32,AF35)</f>
        <v>0</v>
      </c>
      <c r="AG36" s="431"/>
    </row>
    <row r="37" spans="2:33" x14ac:dyDescent="0.25">
      <c r="B37" s="195" t="s">
        <v>219</v>
      </c>
      <c r="C37" s="385">
        <f t="shared" ref="C37:AF37" si="32">C15-C29-C36</f>
        <v>10134.58092331537</v>
      </c>
      <c r="D37" s="385">
        <f t="shared" si="32"/>
        <v>474981.27379651531</v>
      </c>
      <c r="E37" s="385">
        <f t="shared" si="32"/>
        <v>476103.0653284794</v>
      </c>
      <c r="F37" s="385">
        <f t="shared" si="32"/>
        <v>477236.24044419569</v>
      </c>
      <c r="G37" s="385">
        <f t="shared" si="32"/>
        <v>478380.9162928703</v>
      </c>
      <c r="H37" s="385">
        <f t="shared" si="32"/>
        <v>479537.21126146929</v>
      </c>
      <c r="I37" s="385">
        <f t="shared" si="32"/>
        <v>480705.24498841987</v>
      </c>
      <c r="J37" s="385">
        <f t="shared" si="32"/>
        <v>451885.13837747992</v>
      </c>
      <c r="K37" s="385">
        <f t="shared" si="32"/>
        <v>483077.01361176628</v>
      </c>
      <c r="L37" s="385">
        <f t="shared" si="32"/>
        <v>484280.99416795868</v>
      </c>
      <c r="M37" s="385">
        <f t="shared" si="32"/>
        <v>485497.20483066695</v>
      </c>
      <c r="N37" s="385">
        <f t="shared" si="32"/>
        <v>486725.77170697553</v>
      </c>
      <c r="O37" s="385">
        <f t="shared" si="32"/>
        <v>487966.82224116009</v>
      </c>
      <c r="P37" s="385">
        <f t="shared" si="32"/>
        <v>459220.48522958154</v>
      </c>
      <c r="Q37" s="385">
        <f t="shared" si="32"/>
        <v>490486.89083575975</v>
      </c>
      <c r="R37" s="385">
        <f t="shared" si="32"/>
        <v>491766.17060563003</v>
      </c>
      <c r="S37" s="385">
        <f t="shared" si="32"/>
        <v>493058.45748298208</v>
      </c>
      <c r="T37" s="385">
        <f t="shared" si="32"/>
        <v>494363.88582508639</v>
      </c>
      <c r="U37" s="385">
        <f t="shared" si="32"/>
        <v>495682.59141850978</v>
      </c>
      <c r="V37" s="385">
        <f t="shared" si="32"/>
        <v>497014.71149512345</v>
      </c>
      <c r="W37" s="385">
        <f t="shared" si="32"/>
        <v>498772.85309835646</v>
      </c>
      <c r="X37" s="385">
        <f t="shared" si="32"/>
        <v>500155.07676288724</v>
      </c>
      <c r="Y37" s="385">
        <f t="shared" si="32"/>
        <v>501551.36401168676</v>
      </c>
      <c r="Z37" s="385">
        <f t="shared" si="32"/>
        <v>0</v>
      </c>
      <c r="AA37" s="385">
        <f t="shared" si="32"/>
        <v>0</v>
      </c>
      <c r="AB37" s="385">
        <f t="shared" si="32"/>
        <v>0</v>
      </c>
      <c r="AC37" s="385">
        <f t="shared" si="32"/>
        <v>0</v>
      </c>
      <c r="AD37" s="385">
        <f t="shared" si="32"/>
        <v>0</v>
      </c>
      <c r="AE37" s="385">
        <f t="shared" si="32"/>
        <v>0</v>
      </c>
      <c r="AF37" s="385">
        <f t="shared" si="32"/>
        <v>0</v>
      </c>
      <c r="AG37" s="400"/>
    </row>
    <row r="38" spans="2:33" x14ac:dyDescent="0.25">
      <c r="B38" s="386" t="s">
        <v>220</v>
      </c>
      <c r="C38" s="387">
        <f>IF(C5&lt;=IN!$C$47,'CE CC opz1'!C37/'CE CC opz1'!C15,"")</f>
        <v>1.1866522431338322E-2</v>
      </c>
      <c r="D38" s="387">
        <f>IF(D5&lt;=IN!$C$47,'CE CC opz1'!D37/'CE CC opz1'!D15,"")</f>
        <v>0.5517984481328515</v>
      </c>
      <c r="E38" s="387">
        <f>IF(E5&lt;=IN!$C$47,'CE CC opz1'!E37/'CE CC opz1'!E15,"")</f>
        <v>0.5487389570578487</v>
      </c>
      <c r="F38" s="387">
        <f>IF(F5&lt;=IN!$C$47,'CE CC opz1'!F37/'CE CC opz1'!F15,"")</f>
        <v>0.54567430296702168</v>
      </c>
      <c r="G38" s="387">
        <f>IF(G5&lt;=IN!$C$47,'CE CC opz1'!G37/'CE CC opz1'!G15,"")</f>
        <v>0.54260473246222252</v>
      </c>
      <c r="H38" s="387">
        <f>IF(H5&lt;=IN!$C$47,'CE CC opz1'!H37/'CE CC opz1'!H15,"")</f>
        <v>0.53953049422548782</v>
      </c>
      <c r="I38" s="387">
        <f>IF(I5&lt;=IN!$C$47,'CE CC opz1'!I37/'CE CC opz1'!I15,"")</f>
        <v>0.53645183893830273</v>
      </c>
      <c r="J38" s="387">
        <f>IF(J5&lt;=IN!$C$47,'CE CC opz1'!J37/'CE CC opz1'!J15,"")</f>
        <v>0.50016386448148631</v>
      </c>
      <c r="K38" s="387">
        <f>IF(K5&lt;=IN!$C$47,'CE CC opz1'!K37/'CE CC opz1'!K15,"")</f>
        <v>0.53028228943950628</v>
      </c>
      <c r="L38" s="387">
        <f>IF(L5&lt;=IN!$C$47,'CE CC opz1'!L37/'CE CC opz1'!L15,"")</f>
        <v>0.52719190583800246</v>
      </c>
      <c r="M38" s="387">
        <f>IF(M5&lt;=IN!$C$47,'CE CC opz1'!M37/'CE CC opz1'!M15,"")</f>
        <v>0.52409812623337781</v>
      </c>
      <c r="N38" s="387">
        <f>IF(N5&lt;=IN!$C$47,'CE CC opz1'!N37/'CE CC opz1'!N15,"")</f>
        <v>0.52100121003571664</v>
      </c>
      <c r="O38" s="387">
        <f>IF(O5&lt;=IN!$C$47,'CE CC opz1'!O37/'CE CC opz1'!O15,"")</f>
        <v>0.51790141813637136</v>
      </c>
      <c r="P38" s="387">
        <f>IF(P5&lt;=IN!$C$47,'CE CC opz1'!P37/'CE CC opz1'!P15,"")</f>
        <v>0.48323048522870737</v>
      </c>
      <c r="Q38" s="387">
        <f>IF(Q5&lt;=IN!$C$47,'CE CC opz1'!Q37/'CE CC opz1'!Q15,"")</f>
        <v>0.51169425765447651</v>
      </c>
      <c r="R38" s="387">
        <f>IF(R5&lt;=IN!$C$47,'CE CC opz1'!R37/'CE CC opz1'!R15,"")</f>
        <v>0.50858741743171176</v>
      </c>
      <c r="S38" s="387">
        <f>IF(S5&lt;=IN!$C$47,'CE CC opz1'!S37/'CE CC opz1'!S15,"")</f>
        <v>0.50547875803784148</v>
      </c>
      <c r="T38" s="387">
        <f>IF(T5&lt;=IN!$C$47,'CE CC opz1'!T37/'CE CC opz1'!T15,"")</f>
        <v>0.50236854637446637</v>
      </c>
      <c r="U38" s="387">
        <f>IF(U5&lt;=IN!$C$47,'CE CC opz1'!U37/'CE CC opz1'!U15,"")</f>
        <v>0.49925705025805134</v>
      </c>
      <c r="V38" s="387">
        <f>IF(V5&lt;=IN!$C$47,'CE CC opz1'!V37/'CE CC opz1'!V15,"")</f>
        <v>0.49614453832188155</v>
      </c>
      <c r="W38" s="387">
        <f>IF(W5&lt;=IN!$C$47,'CE CC opz1'!W37/'CE CC opz1'!W15,"")</f>
        <v>0.49343933762957692</v>
      </c>
      <c r="X38" s="387">
        <f>IF(X5&lt;=IN!$C$47,'CE CC opz1'!X37/'CE CC opz1'!X15,"")</f>
        <v>0.49034433134180549</v>
      </c>
      <c r="Y38" s="387">
        <f>IF(Y5&lt;=IN!$C$47,'CE CC opz1'!Y37/'CE CC opz1'!Y15,"")</f>
        <v>0.48724894292968707</v>
      </c>
      <c r="Z38" s="387" t="str">
        <f>IF(Z5&lt;=IN!$C$47,'CE CC opz1'!Z37/'CE CC opz1'!Z15,"")</f>
        <v/>
      </c>
      <c r="AA38" s="387" t="str">
        <f>IF(AA5&lt;=IN!$C$47,'CE CC opz1'!AA37/'CE CC opz1'!AA15,"")</f>
        <v/>
      </c>
      <c r="AB38" s="387" t="str">
        <f>IF(AB5&lt;=IN!$C$47,'CE CC opz1'!AB37/'CE CC opz1'!AB15,"")</f>
        <v/>
      </c>
      <c r="AC38" s="387" t="str">
        <f>IF(AC5&lt;=IN!$C$47,'CE CC opz1'!AC37/'CE CC opz1'!AC15,"")</f>
        <v/>
      </c>
      <c r="AD38" s="387" t="str">
        <f>IF(AD5&lt;=IN!$C$47,'CE CC opz1'!AD37/'CE CC opz1'!AD15,"")</f>
        <v/>
      </c>
      <c r="AE38" s="387" t="str">
        <f>IF(AE5&lt;=IN!$C$47,'CE CC opz1'!AE37/'CE CC opz1'!AE15,"")</f>
        <v/>
      </c>
      <c r="AF38" s="387" t="str">
        <f>IF(AF5&lt;=IN!$C$47,'CE CC opz1'!AF37/'CE CC opz1'!AF15,"")</f>
        <v/>
      </c>
      <c r="AG38" s="387"/>
    </row>
    <row r="39" spans="2:33" ht="20.100000000000001" customHeight="1" x14ac:dyDescent="0.25">
      <c r="B39" s="194" t="s">
        <v>221</v>
      </c>
      <c r="C39" s="183">
        <f>Investimenti!G41</f>
        <v>235119.70527066509</v>
      </c>
      <c r="D39" s="183">
        <f>Investimenti!H41</f>
        <v>235119.70527066509</v>
      </c>
      <c r="E39" s="183">
        <f>Investimenti!I41</f>
        <v>235119.70527066509</v>
      </c>
      <c r="F39" s="183">
        <f>Investimenti!J41</f>
        <v>235119.70527066509</v>
      </c>
      <c r="G39" s="183">
        <f>Investimenti!K41</f>
        <v>235119.70527066509</v>
      </c>
      <c r="H39" s="183">
        <f>Investimenti!L41</f>
        <v>235119.70527066509</v>
      </c>
      <c r="I39" s="183">
        <f>Investimenti!M41</f>
        <v>235119.70527066509</v>
      </c>
      <c r="J39" s="183">
        <f>Investimenti!N41</f>
        <v>235119.70527066509</v>
      </c>
      <c r="K39" s="183">
        <f>Investimenti!O41</f>
        <v>235119.70527066509</v>
      </c>
      <c r="L39" s="183">
        <f>Investimenti!P41</f>
        <v>235119.70527066509</v>
      </c>
      <c r="M39" s="183">
        <f>Investimenti!Q41</f>
        <v>235119.70527066509</v>
      </c>
      <c r="N39" s="183">
        <f>Investimenti!R41</f>
        <v>235119.70527066509</v>
      </c>
      <c r="O39" s="183">
        <f>Investimenti!S41</f>
        <v>235119.70527066509</v>
      </c>
      <c r="P39" s="183">
        <f>Investimenti!T41</f>
        <v>235119.70527066509</v>
      </c>
      <c r="Q39" s="183">
        <f>Investimenti!U41</f>
        <v>235119.70527066509</v>
      </c>
      <c r="R39" s="183">
        <f>Investimenti!V41</f>
        <v>235119.70527066509</v>
      </c>
      <c r="S39" s="183">
        <f>Investimenti!W41</f>
        <v>235119.70527066509</v>
      </c>
      <c r="T39" s="183">
        <f>Investimenti!X41</f>
        <v>235119.70527066509</v>
      </c>
      <c r="U39" s="183">
        <f>Investimenti!Y41</f>
        <v>235119.70527066509</v>
      </c>
      <c r="V39" s="183">
        <f>Investimenti!Z41</f>
        <v>235119.70527066509</v>
      </c>
      <c r="W39" s="183">
        <f>Investimenti!AA41</f>
        <v>235119.70527066509</v>
      </c>
      <c r="X39" s="183">
        <f>Investimenti!AB41</f>
        <v>235119.70527066509</v>
      </c>
      <c r="Y39" s="183">
        <f>Investimenti!AC41</f>
        <v>235119.70527066509</v>
      </c>
      <c r="Z39" s="183">
        <f>Investimenti!AD41</f>
        <v>0</v>
      </c>
      <c r="AA39" s="183">
        <f>Investimenti!AE41</f>
        <v>0</v>
      </c>
      <c r="AB39" s="183">
        <f>Investimenti!AF41</f>
        <v>0</v>
      </c>
      <c r="AC39" s="183">
        <f>Investimenti!AG41</f>
        <v>0</v>
      </c>
      <c r="AD39" s="183">
        <f>Investimenti!AH41</f>
        <v>0</v>
      </c>
      <c r="AE39" s="183">
        <f>Investimenti!AI41</f>
        <v>0</v>
      </c>
      <c r="AF39" s="183">
        <f>Investimenti!AJ41</f>
        <v>0</v>
      </c>
      <c r="AG39" s="183"/>
    </row>
    <row r="40" spans="2:33" x14ac:dyDescent="0.25">
      <c r="B40" s="195" t="s">
        <v>222</v>
      </c>
      <c r="C40" s="191">
        <f>C37-C39</f>
        <v>-224985.12434734972</v>
      </c>
      <c r="D40" s="191">
        <f>D37-D39</f>
        <v>239861.56852585022</v>
      </c>
      <c r="E40" s="191">
        <f>E37-E39</f>
        <v>240983.36005781431</v>
      </c>
      <c r="F40" s="191">
        <f>F37-F39</f>
        <v>242116.5351735306</v>
      </c>
      <c r="G40" s="191">
        <f t="shared" ref="G40:AB40" si="33">G37-G39</f>
        <v>243261.21102220521</v>
      </c>
      <c r="H40" s="191">
        <f t="shared" si="33"/>
        <v>244417.5059908042</v>
      </c>
      <c r="I40" s="191">
        <f t="shared" si="33"/>
        <v>245585.53971775479</v>
      </c>
      <c r="J40" s="191">
        <f t="shared" si="33"/>
        <v>216765.43310681483</v>
      </c>
      <c r="K40" s="191">
        <f t="shared" si="33"/>
        <v>247957.30834110119</v>
      </c>
      <c r="L40" s="191">
        <f t="shared" si="33"/>
        <v>249161.28889729359</v>
      </c>
      <c r="M40" s="191">
        <f t="shared" si="33"/>
        <v>250377.49956000186</v>
      </c>
      <c r="N40" s="191">
        <f t="shared" si="33"/>
        <v>251606.06643631044</v>
      </c>
      <c r="O40" s="191">
        <f t="shared" si="33"/>
        <v>252847.116970495</v>
      </c>
      <c r="P40" s="191">
        <f t="shared" si="33"/>
        <v>224100.77995891645</v>
      </c>
      <c r="Q40" s="191">
        <f t="shared" si="33"/>
        <v>255367.18556509467</v>
      </c>
      <c r="R40" s="191">
        <f t="shared" si="33"/>
        <v>256646.46533496495</v>
      </c>
      <c r="S40" s="192">
        <f t="shared" si="33"/>
        <v>257938.75221231699</v>
      </c>
      <c r="T40" s="191">
        <f t="shared" si="33"/>
        <v>259244.1805544213</v>
      </c>
      <c r="U40" s="191">
        <f t="shared" si="33"/>
        <v>260562.88614784469</v>
      </c>
      <c r="V40" s="191">
        <f t="shared" si="33"/>
        <v>261895.00622445837</v>
      </c>
      <c r="W40" s="191">
        <f t="shared" si="33"/>
        <v>263653.1478276914</v>
      </c>
      <c r="X40" s="191">
        <f t="shared" si="33"/>
        <v>265035.37149222218</v>
      </c>
      <c r="Y40" s="191">
        <f t="shared" si="33"/>
        <v>266431.65874102165</v>
      </c>
      <c r="Z40" s="191">
        <f t="shared" si="33"/>
        <v>0</v>
      </c>
      <c r="AA40" s="191">
        <f t="shared" si="33"/>
        <v>0</v>
      </c>
      <c r="AB40" s="191">
        <f t="shared" si="33"/>
        <v>0</v>
      </c>
      <c r="AC40" s="191">
        <f>AC37-AC39</f>
        <v>0</v>
      </c>
      <c r="AD40" s="191">
        <f>AD37-AD39</f>
        <v>0</v>
      </c>
      <c r="AE40" s="193">
        <f>AE37-AE39</f>
        <v>0</v>
      </c>
      <c r="AF40" s="193">
        <f>AF37-AF39</f>
        <v>0</v>
      </c>
      <c r="AG40" s="401"/>
    </row>
    <row r="41" spans="2:33" x14ac:dyDescent="0.25">
      <c r="B41" s="386" t="s">
        <v>223</v>
      </c>
      <c r="C41" s="387">
        <f>IF(C5&lt;=IN!$C$47,'CE CC opz1'!C40/'CE CC opz1'!C15,"")</f>
        <v>-0.26343378625979597</v>
      </c>
      <c r="D41" s="387">
        <f>IF(D5&lt;=IN!$C$47,'CE CC opz1'!D40/'CE CC opz1'!D15,"")</f>
        <v>0.27865359874372125</v>
      </c>
      <c r="E41" s="387">
        <f>IF(E5&lt;=IN!$C$47,'CE CC opz1'!E40/'CE CC opz1'!E15,"")</f>
        <v>0.27774859541218533</v>
      </c>
      <c r="F41" s="387">
        <f>IF(F5&lt;=IN!$C$47,'CE CC opz1'!F40/'CE CC opz1'!F15,"")</f>
        <v>0.27683725662710945</v>
      </c>
      <c r="G41" s="387">
        <f>IF(G5&lt;=IN!$C$47,'CE CC opz1'!G40/'CE CC opz1'!G15,"")</f>
        <v>0.275919627705908</v>
      </c>
      <c r="H41" s="387">
        <f>IF(H5&lt;=IN!$C$47,'CE CC opz1'!H40/'CE CC opz1'!H15,"")</f>
        <v>0.27499575571555962</v>
      </c>
      <c r="I41" s="387">
        <f>IF(I5&lt;=IN!$C$47,'CE CC opz1'!I40/'CE CC opz1'!I15,"")</f>
        <v>0.27406568946718868</v>
      </c>
      <c r="J41" s="387">
        <f>IF(J5&lt;=IN!$C$47,'CE CC opz1'!J40/'CE CC opz1'!J15,"")</f>
        <v>0.23992432479189216</v>
      </c>
      <c r="K41" s="387">
        <f>IF(K5&lt;=IN!$C$47,'CE CC opz1'!K40/'CE CC opz1'!K15,"")</f>
        <v>0.27218717812155929</v>
      </c>
      <c r="L41" s="387">
        <f>IF(L5&lt;=IN!$C$47,'CE CC opz1'!L40/'CE CC opz1'!L15,"")</f>
        <v>0.27123883930340742</v>
      </c>
      <c r="M41" s="387">
        <f>IF(M5&lt;=IN!$C$47,'CE CC opz1'!M40/'CE CC opz1'!M15,"")</f>
        <v>0.27028451876703075</v>
      </c>
      <c r="N41" s="387">
        <f>IF(N5&lt;=IN!$C$47,'CE CC opz1'!N40/'CE CC opz1'!N15,"")</f>
        <v>0.26932427392516056</v>
      </c>
      <c r="O41" s="387">
        <f>IF(O5&lt;=IN!$C$47,'CE CC opz1'!O40/'CE CC opz1'!O15,"")</f>
        <v>0.26835816387941852</v>
      </c>
      <c r="P41" s="387">
        <f>IF(P5&lt;=IN!$C$47,'CE CC opz1'!P40/'CE CC opz1'!P15,"")</f>
        <v>0.23581772181948629</v>
      </c>
      <c r="Q41" s="387">
        <f>IF(Q5&lt;=IN!$C$47,'CE CC opz1'!Q40/'CE CC opz1'!Q15,"")</f>
        <v>0.26640859294810199</v>
      </c>
      <c r="R41" s="387">
        <f>IF(R5&lt;=IN!$C$47,'CE CC opz1'!R40/'CE CC opz1'!R15,"")</f>
        <v>0.26542525858770977</v>
      </c>
      <c r="S41" s="387">
        <f>IF(S5&lt;=IN!$C$47,'CE CC opz1'!S40/'CE CC opz1'!S15,"")</f>
        <v>0.26443631204239648</v>
      </c>
      <c r="T41" s="387">
        <f>IF(T5&lt;=IN!$C$47,'CE CC opz1'!T40/'CE CC opz1'!T15,"")</f>
        <v>0.2634418206414938</v>
      </c>
      <c r="U41" s="387">
        <f>IF(U5&lt;=IN!$C$47,'CE CC opz1'!U40/'CE CC opz1'!U15,"")</f>
        <v>0.26244185330903202</v>
      </c>
      <c r="V41" s="387">
        <f>IF(V5&lt;=IN!$C$47,'CE CC opz1'!V40/'CE CC opz1'!V15,"")</f>
        <v>0.26143648054432911</v>
      </c>
      <c r="W41" s="387">
        <f>IF(W5&lt;=IN!$C$47,'CE CC opz1'!W40/'CE CC opz1'!W15,"")</f>
        <v>0.26083383211394284</v>
      </c>
      <c r="X41" s="387">
        <f>IF(X5&lt;=IN!$C$47,'CE CC opz1'!X40/'CE CC opz1'!X15,"")</f>
        <v>0.25983659479656002</v>
      </c>
      <c r="Y41" s="387">
        <f>IF(Y5&lt;=IN!$C$47,'CE CC opz1'!Y40/'CE CC opz1'!Y15,"")</f>
        <v>0.25883399667424889</v>
      </c>
      <c r="Z41" s="387" t="str">
        <f>IF(Z5&lt;=IN!$C$47,'CE CC opz1'!Z40/'CE CC opz1'!Z15,"")</f>
        <v/>
      </c>
      <c r="AA41" s="387" t="str">
        <f>IF(AA5&lt;=IN!$C$47,'CE CC opz1'!AA40/'CE CC opz1'!AA15,"")</f>
        <v/>
      </c>
      <c r="AB41" s="387" t="str">
        <f>IF(AB5&lt;=IN!$C$47,'CE CC opz1'!AB40/'CE CC opz1'!AB15,"")</f>
        <v/>
      </c>
      <c r="AC41" s="387" t="str">
        <f>IF(AC5&lt;=IN!$C$47,'CE CC opz1'!AC40/'CE CC opz1'!AC15,"")</f>
        <v/>
      </c>
      <c r="AD41" s="387" t="str">
        <f>IF(AD5&lt;=IN!$C$47,'CE CC opz1'!AD40/'CE CC opz1'!AD15,"")</f>
        <v/>
      </c>
      <c r="AE41" s="387" t="str">
        <f>IF(AE5&lt;=IN!$C$47,'CE CC opz1'!AE40/'CE CC opz1'!AE15,"")</f>
        <v/>
      </c>
      <c r="AF41" s="387" t="str">
        <f>IF(AF5&lt;=IN!$C$47,'CE CC opz1'!AF40/'CE CC opz1'!AF15,"")</f>
        <v/>
      </c>
      <c r="AG41" s="387"/>
    </row>
    <row r="42" spans="2:33" ht="20.100000000000001" customHeight="1" x14ac:dyDescent="0.25">
      <c r="B42" s="194" t="s">
        <v>224</v>
      </c>
      <c r="C42" s="183">
        <f>IN!Q57</f>
        <v>72843.084820291304</v>
      </c>
      <c r="D42" s="183">
        <f>IN!Q58</f>
        <v>70541.695812233083</v>
      </c>
      <c r="E42" s="183">
        <f>IN!Q59</f>
        <v>68176.098050850051</v>
      </c>
      <c r="F42" s="183">
        <f>IN!Q60</f>
        <v>65744.500111924412</v>
      </c>
      <c r="G42" s="183">
        <f>IN!Q61</f>
        <v>63245.060590502755</v>
      </c>
      <c r="H42" s="183">
        <f>IN!Q62</f>
        <v>60675.886706433434</v>
      </c>
      <c r="I42" s="183">
        <f>IN!Q63</f>
        <v>58035.032870998577</v>
      </c>
      <c r="J42" s="183">
        <f>IN!Q64</f>
        <v>55320.499213555093</v>
      </c>
      <c r="K42" s="183">
        <f>IN!Q65</f>
        <v>52530.230067068929</v>
      </c>
      <c r="L42" s="183">
        <f>IN!Q66</f>
        <v>49662.112411395807</v>
      </c>
      <c r="M42" s="183">
        <f>IN!Q67</f>
        <v>46713.974273129403</v>
      </c>
      <c r="N42" s="183">
        <f>IN!Q68</f>
        <v>43683.583080805365</v>
      </c>
      <c r="O42" s="183">
        <f>IN!Q69</f>
        <v>40568.643974215483</v>
      </c>
      <c r="P42" s="183">
        <f>IN!Q70</f>
        <v>37366.798066551746</v>
      </c>
      <c r="Q42" s="183">
        <f>IN!Q71</f>
        <v>34075.620658064188</v>
      </c>
      <c r="R42" s="183">
        <f>IN!Q72</f>
        <v>30692.619399879834</v>
      </c>
      <c r="S42" s="183">
        <f>IN!Q73</f>
        <v>27215.232406592135</v>
      </c>
      <c r="T42" s="183">
        <f>IN!Q74</f>
        <v>23640.826316191706</v>
      </c>
      <c r="U42" s="183">
        <f>IN!Q75</f>
        <v>19966.694295869103</v>
      </c>
      <c r="V42" s="183">
        <f>IN!Q76</f>
        <v>16190.053992179503</v>
      </c>
      <c r="W42" s="183">
        <f>IN!Q77</f>
        <v>12308.04542401696</v>
      </c>
      <c r="X42" s="183">
        <f>IN!Q78</f>
        <v>8317.7288168026807</v>
      </c>
      <c r="Y42" s="183">
        <f>IN!Q79</f>
        <v>4216.0823762471255</v>
      </c>
      <c r="Z42" s="183">
        <f>IN!Q80</f>
        <v>0</v>
      </c>
      <c r="AA42" s="183">
        <f>IN!Q81</f>
        <v>0</v>
      </c>
      <c r="AB42" s="183">
        <f>IN!Q82</f>
        <v>0</v>
      </c>
      <c r="AC42" s="183">
        <f>IN!Q83</f>
        <v>0</v>
      </c>
      <c r="AD42" s="183">
        <f>IN!Q84</f>
        <v>0</v>
      </c>
      <c r="AE42" s="183">
        <f>IN!Q85</f>
        <v>0</v>
      </c>
      <c r="AF42" s="183">
        <f>IN!Q86</f>
        <v>0</v>
      </c>
      <c r="AG42" s="183"/>
    </row>
    <row r="43" spans="2:33" x14ac:dyDescent="0.25">
      <c r="B43" s="196" t="s">
        <v>225</v>
      </c>
      <c r="C43" s="191">
        <f>+C40-C42</f>
        <v>-297828.20916764101</v>
      </c>
      <c r="D43" s="191">
        <f>+D40-D42</f>
        <v>169319.87271361714</v>
      </c>
      <c r="E43" s="191">
        <f>+E40-E42</f>
        <v>172807.26200696424</v>
      </c>
      <c r="F43" s="191">
        <f>+F40-F42</f>
        <v>176372.03506160621</v>
      </c>
      <c r="G43" s="191">
        <f t="shared" ref="G43:AB43" si="34">+G40-G42</f>
        <v>180016.15043170247</v>
      </c>
      <c r="H43" s="191">
        <f t="shared" si="34"/>
        <v>183741.61928437077</v>
      </c>
      <c r="I43" s="191">
        <f t="shared" si="34"/>
        <v>187550.50684675621</v>
      </c>
      <c r="J43" s="191">
        <f t="shared" si="34"/>
        <v>161444.93389325973</v>
      </c>
      <c r="K43" s="191">
        <f t="shared" si="34"/>
        <v>195427.07827403228</v>
      </c>
      <c r="L43" s="191">
        <f t="shared" si="34"/>
        <v>199499.1764858978</v>
      </c>
      <c r="M43" s="191">
        <f t="shared" si="34"/>
        <v>203663.52528687246</v>
      </c>
      <c r="N43" s="191">
        <f t="shared" si="34"/>
        <v>207922.48335550507</v>
      </c>
      <c r="O43" s="191">
        <f t="shared" si="34"/>
        <v>212278.47299627951</v>
      </c>
      <c r="P43" s="191">
        <f t="shared" si="34"/>
        <v>186733.98189236471</v>
      </c>
      <c r="Q43" s="191">
        <f t="shared" si="34"/>
        <v>221291.56490703049</v>
      </c>
      <c r="R43" s="191">
        <f t="shared" si="34"/>
        <v>225953.84593508512</v>
      </c>
      <c r="S43" s="191">
        <f t="shared" si="34"/>
        <v>230723.51980572485</v>
      </c>
      <c r="T43" s="191">
        <f t="shared" si="34"/>
        <v>235603.3542382296</v>
      </c>
      <c r="U43" s="191">
        <f t="shared" si="34"/>
        <v>240596.1918519756</v>
      </c>
      <c r="V43" s="191">
        <f t="shared" si="34"/>
        <v>245704.95223227885</v>
      </c>
      <c r="W43" s="191">
        <f t="shared" si="34"/>
        <v>251345.10240367445</v>
      </c>
      <c r="X43" s="191">
        <f t="shared" si="34"/>
        <v>256717.64267541951</v>
      </c>
      <c r="Y43" s="191">
        <f t="shared" si="34"/>
        <v>262215.57636477455</v>
      </c>
      <c r="Z43" s="191">
        <f t="shared" si="34"/>
        <v>0</v>
      </c>
      <c r="AA43" s="191">
        <f t="shared" si="34"/>
        <v>0</v>
      </c>
      <c r="AB43" s="191">
        <f t="shared" si="34"/>
        <v>0</v>
      </c>
      <c r="AC43" s="191">
        <f>+AC40-AC42</f>
        <v>0</v>
      </c>
      <c r="AD43" s="191">
        <f>+AD40-AD42</f>
        <v>0</v>
      </c>
      <c r="AE43" s="191">
        <f>+AE40-AE42</f>
        <v>0</v>
      </c>
      <c r="AF43" s="191">
        <f>+AF40-AF42</f>
        <v>0</v>
      </c>
      <c r="AG43" s="402"/>
    </row>
    <row r="44" spans="2:33" x14ac:dyDescent="0.25">
      <c r="B44" s="386" t="s">
        <v>226</v>
      </c>
      <c r="C44" s="387">
        <f>IF(C5&lt;=IN!$C$47,'CE CC opz1'!C43/'CE CC opz1'!C15,"")</f>
        <v>-0.34872533472424827</v>
      </c>
      <c r="D44" s="387">
        <f>IF(D5&lt;=IN!$C$47,'CE CC opz1'!D43/'CE CC opz1'!D15,"")</f>
        <v>0.19670342423110351</v>
      </c>
      <c r="E44" s="387">
        <f>IF(E5&lt;=IN!$C$47,'CE CC opz1'!E43/'CE CC opz1'!E15,"")</f>
        <v>0.1991713215715179</v>
      </c>
      <c r="F44" s="387">
        <f>IF(F5&lt;=IN!$C$47,'CE CC opz1'!F43/'CE CC opz1'!F15,"")</f>
        <v>0.20166466655076007</v>
      </c>
      <c r="G44" s="387">
        <f>IF(G5&lt;=IN!$C$47,'CE CC opz1'!G43/'CE CC opz1'!G15,"")</f>
        <v>0.20418376197112711</v>
      </c>
      <c r="H44" s="387">
        <f>IF(H5&lt;=IN!$C$47,'CE CC opz1'!H43/'CE CC opz1'!H15,"")</f>
        <v>0.20672891349037503</v>
      </c>
      <c r="I44" s="387">
        <f>IF(I5&lt;=IN!$C$47,'CE CC opz1'!I43/'CE CC opz1'!I15,"")</f>
        <v>0.20930042960978473</v>
      </c>
      <c r="J44" s="387">
        <f>IF(J5&lt;=IN!$C$47,'CE CC opz1'!J43/'CE CC opz1'!J15,"")</f>
        <v>0.17869346694371188</v>
      </c>
      <c r="K44" s="387">
        <f>IF(K5&lt;=IN!$C$47,'CE CC opz1'!K43/'CE CC opz1'!K15,"")</f>
        <v>0.21452380379438385</v>
      </c>
      <c r="L44" s="387">
        <f>IF(L5&lt;=IN!$C$47,'CE CC opz1'!L43/'CE CC opz1'!L15,"")</f>
        <v>0.21717629296068519</v>
      </c>
      <c r="M44" s="387">
        <f>IF(M5&lt;=IN!$C$47,'CE CC opz1'!M43/'CE CC opz1'!M15,"")</f>
        <v>0.21985640889974431</v>
      </c>
      <c r="N44" s="387">
        <f>IF(N5&lt;=IN!$C$47,'CE CC opz1'!N43/'CE CC opz1'!N15,"")</f>
        <v>0.22256447412253758</v>
      </c>
      <c r="O44" s="387">
        <f>IF(O5&lt;=IN!$C$47,'CE CC opz1'!O43/'CE CC opz1'!O15,"")</f>
        <v>0.22530081389480822</v>
      </c>
      <c r="P44" s="387">
        <f>IF(P5&lt;=IN!$C$47,'CE CC opz1'!P43/'CE CC opz1'!P15,"")</f>
        <v>0.19649722863174085</v>
      </c>
      <c r="Q44" s="387">
        <f>IF(Q5&lt;=IN!$C$47,'CE CC opz1'!Q43/'CE CC opz1'!Q15,"")</f>
        <v>0.23085963181881819</v>
      </c>
      <c r="R44" s="387">
        <f>IF(R5&lt;=IN!$C$47,'CE CC opz1'!R43/'CE CC opz1'!R15,"")</f>
        <v>0.23368277411470276</v>
      </c>
      <c r="S44" s="387">
        <f>IF(S5&lt;=IN!$C$47,'CE CC opz1'!S43/'CE CC opz1'!S15,"")</f>
        <v>0.23653551920979363</v>
      </c>
      <c r="T44" s="387">
        <f>IF(T5&lt;=IN!$C$47,'CE CC opz1'!T43/'CE CC opz1'!T15,"")</f>
        <v>0.23941820586685286</v>
      </c>
      <c r="U44" s="387">
        <f>IF(U5&lt;=IN!$C$47,'CE CC opz1'!U43/'CE CC opz1'!U15,"")</f>
        <v>0.24233117548790326</v>
      </c>
      <c r="V44" s="387">
        <f>IF(V5&lt;=IN!$C$47,'CE CC opz1'!V43/'CE CC opz1'!V15,"")</f>
        <v>0.24527477209269699</v>
      </c>
      <c r="W44" s="387">
        <f>IF(W5&lt;=IN!$C$47,'CE CC opz1'!W43/'CE CC opz1'!W15,"")</f>
        <v>0.24865740000899816</v>
      </c>
      <c r="X44" s="387">
        <f>IF(X5&lt;=IN!$C$47,'CE CC opz1'!X43/'CE CC opz1'!X15,"")</f>
        <v>0.2516820216162679</v>
      </c>
      <c r="Y44" s="387">
        <f>IF(Y5&lt;=IN!$C$47,'CE CC opz1'!Y43/'CE CC opz1'!Y15,"")</f>
        <v>0.25473814163619335</v>
      </c>
      <c r="Z44" s="387" t="str">
        <f>IF(Z5&lt;=IN!$C$47,'CE CC opz1'!Z43/'CE CC opz1'!Z15,"")</f>
        <v/>
      </c>
      <c r="AA44" s="387" t="str">
        <f>IF(AA5&lt;=IN!$C$47,'CE CC opz1'!AA43/'CE CC opz1'!AA15,"")</f>
        <v/>
      </c>
      <c r="AB44" s="387" t="str">
        <f>IF(AB5&lt;=IN!$C$47,'CE CC opz1'!AB43/'CE CC opz1'!AB15,"")</f>
        <v/>
      </c>
      <c r="AC44" s="387" t="str">
        <f>IF(AC5&lt;=IN!$C$47,'CE CC opz1'!AC43/'CE CC opz1'!AC15,"")</f>
        <v/>
      </c>
      <c r="AD44" s="387" t="str">
        <f>IF(AD5&lt;=IN!$C$47,'CE CC opz1'!AD43/'CE CC opz1'!AD15,"")</f>
        <v/>
      </c>
      <c r="AE44" s="387" t="str">
        <f>IF(AE5&lt;=IN!$C$47,'CE CC opz1'!AE43/'CE CC opz1'!AE15,"")</f>
        <v/>
      </c>
      <c r="AF44" s="387" t="str">
        <f>IF(AF5&lt;=IN!$C$47,'CE CC opz1'!AF43/'CE CC opz1'!AF15,"")</f>
        <v/>
      </c>
      <c r="AG44" s="387"/>
    </row>
    <row r="45" spans="2:33" x14ac:dyDescent="0.25">
      <c r="B45" s="320" t="s">
        <v>227</v>
      </c>
      <c r="C45" s="317">
        <f>IF(C5&lt;=IN!$C$47,C75,0)</f>
        <v>-71478.770200233834</v>
      </c>
      <c r="D45" s="317">
        <f>IF(D5&lt;=IN!$C$47,D75,0)</f>
        <v>40636.769451268112</v>
      </c>
      <c r="E45" s="317">
        <f>IF(E5&lt;=IN!$C$47,E75,0)</f>
        <v>41473.742881671416</v>
      </c>
      <c r="F45" s="317">
        <f>IF(F5&lt;=IN!$C$47,F75,0)</f>
        <v>42329.288414785493</v>
      </c>
      <c r="G45" s="317">
        <f>IF(G5&lt;=IN!$C$47,G75,0)</f>
        <v>43203.876103608593</v>
      </c>
      <c r="H45" s="317">
        <f>IF(H5&lt;=IN!$C$47,H75,0)</f>
        <v>44097.988628248982</v>
      </c>
      <c r="I45" s="317">
        <f>IF(I5&lt;=IN!$C$47,I75,0)</f>
        <v>45012.121643221486</v>
      </c>
      <c r="J45" s="317">
        <f>IF(J5&lt;=IN!$C$47,J75,0)</f>
        <v>38746.784134382331</v>
      </c>
      <c r="K45" s="317">
        <f>IF(K5&lt;=IN!$C$47,K75,0)</f>
        <v>46902.498785767748</v>
      </c>
      <c r="L45" s="317">
        <f>IF(L5&lt;=IN!$C$47,L75,0)</f>
        <v>47879.802356615473</v>
      </c>
      <c r="M45" s="317">
        <f>IF(M5&lt;=IN!$C$47,M75,0)</f>
        <v>48879.246068849388</v>
      </c>
      <c r="N45" s="317">
        <f>IF(N5&lt;=IN!$C$47,N75,0)</f>
        <v>49901.396005321214</v>
      </c>
      <c r="O45" s="317">
        <f>IF(O5&lt;=IN!$C$47,O75,0)</f>
        <v>50946.83351910708</v>
      </c>
      <c r="P45" s="317">
        <f>IF(P5&lt;=IN!$C$47,P75,0)</f>
        <v>44816.155654167531</v>
      </c>
      <c r="Q45" s="317">
        <f>IF(Q5&lt;=IN!$C$47,Q75,0)</f>
        <v>53109.975577687313</v>
      </c>
      <c r="R45" s="317">
        <f>IF(R5&lt;=IN!$C$47,R75,0)</f>
        <v>54228.92302442043</v>
      </c>
      <c r="S45" s="317">
        <f>IF(S5&lt;=IN!$C$47,S75,0)</f>
        <v>55373.644753373963</v>
      </c>
      <c r="T45" s="317">
        <f>IF(T5&lt;=IN!$C$47,T75,0)</f>
        <v>56544.805017175102</v>
      </c>
      <c r="U45" s="317">
        <f>IF(U5&lt;=IN!$C$47,U75,0)</f>
        <v>57743.086044474141</v>
      </c>
      <c r="V45" s="317">
        <f>IF(V5&lt;=IN!$C$47,V75,0)</f>
        <v>58969.188535746922</v>
      </c>
      <c r="W45" s="317">
        <f>IF(W5&lt;=IN!$C$47,W75,0)</f>
        <v>60322.824576881867</v>
      </c>
      <c r="X45" s="317">
        <f>IF(X5&lt;=IN!$C$47,X75,0)</f>
        <v>61612.234242100683</v>
      </c>
      <c r="Y45" s="317">
        <f>IF(Y5&lt;=IN!$C$47,Y75,0)</f>
        <v>62931.738327545892</v>
      </c>
      <c r="Z45" s="317">
        <f>IF(Z5&lt;=IN!$C$47,Z75,0)</f>
        <v>0</v>
      </c>
      <c r="AA45" s="317">
        <f>IF(AA5&lt;=IN!$C$47,AA75,0)</f>
        <v>0</v>
      </c>
      <c r="AB45" s="317">
        <f>IF(AB5&lt;=IN!$C$47,AB75,0)</f>
        <v>0</v>
      </c>
      <c r="AC45" s="317">
        <f>IF(AC5&lt;=IN!$C$47,AC75,0)</f>
        <v>0</v>
      </c>
      <c r="AD45" s="317">
        <f>IF(AD5&lt;=IN!$C$47,AD75,0)</f>
        <v>0</v>
      </c>
      <c r="AE45" s="317">
        <f>IF(AE5&lt;=IN!$C$47,AE75,0)</f>
        <v>0</v>
      </c>
      <c r="AF45" s="317">
        <f>IF(AF5&lt;=IN!$C$47,AF75,0)</f>
        <v>0</v>
      </c>
      <c r="AG45" s="317">
        <f>IF(AG5&lt;=IN!$C$47,AG75,0)</f>
        <v>0</v>
      </c>
    </row>
    <row r="46" spans="2:33" x14ac:dyDescent="0.25">
      <c r="B46" s="321" t="s">
        <v>228</v>
      </c>
      <c r="C46" s="318">
        <f>IF(C5&lt;=IN!$C$47,C76,0)</f>
        <v>0</v>
      </c>
      <c r="D46" s="318">
        <f>IF(D5&lt;=IN!$C$47,D76,0)</f>
        <v>10153.64863404571</v>
      </c>
      <c r="E46" s="318">
        <f>IF(E5&lt;=IN!$C$47,E76,0)</f>
        <v>10201.558505947802</v>
      </c>
      <c r="F46" s="318">
        <f>IF(F5&lt;=IN!$C$47,F76,0)</f>
        <v>10249.954434643081</v>
      </c>
      <c r="G46" s="318">
        <f>IF(G5&lt;=IN!$C$47,G76,0)</f>
        <v>10298.841419860964</v>
      </c>
      <c r="H46" s="318">
        <f>IF(H5&lt;=IN!$C$47,H76,0)</f>
        <v>10348.224514111405</v>
      </c>
      <c r="I46" s="318">
        <f>IF(I5&lt;=IN!$C$47,I76,0)</f>
        <v>10398.108823268305</v>
      </c>
      <c r="J46" s="318">
        <f>IF(J5&lt;=IN!$C$47,J76,0)</f>
        <v>9188.4995071600533</v>
      </c>
      <c r="K46" s="318">
        <f>IF(K5&lt;=IN!$C$47,K76,0)</f>
        <v>10499.401780166818</v>
      </c>
      <c r="L46" s="318">
        <f>IF(L5&lt;=IN!$C$47,L76,0)</f>
        <v>10550.820911825305</v>
      </c>
      <c r="M46" s="318">
        <f>IF(M5&lt;=IN!$C$47,M76,0)</f>
        <v>10602.762227440442</v>
      </c>
      <c r="N46" s="318">
        <f>IF(N5&lt;=IN!$C$47,N76,0)</f>
        <v>10655.231108704606</v>
      </c>
      <c r="O46" s="318">
        <f>IF(O5&lt;=IN!$C$47,O76,0)</f>
        <v>10708.232994324153</v>
      </c>
      <c r="P46" s="318">
        <f>IF(P5&lt;=IN!$C$47,P76,0)</f>
        <v>9501.773380653487</v>
      </c>
      <c r="Q46" s="318">
        <f>IF(Q5&lt;=IN!$C$47,Q76,0)</f>
        <v>10815.857822336764</v>
      </c>
      <c r="R46" s="318">
        <f>IF(R5&lt;=IN!$C$47,R76,0)</f>
        <v>10870.491932957342</v>
      </c>
      <c r="S46" s="318">
        <f>IF(S5&lt;=IN!$C$47,S76,0)</f>
        <v>10925.681385695018</v>
      </c>
      <c r="T46" s="318">
        <f>IF(T5&lt;=IN!$C$47,T76,0)</f>
        <v>10981.431913991175</v>
      </c>
      <c r="U46" s="318">
        <f>IF(U5&lt;=IN!$C$47,U76,0)</f>
        <v>11037.749312222013</v>
      </c>
      <c r="V46" s="318">
        <f>IF(V5&lt;=IN!$C$47,V76,0)</f>
        <v>11094.639436379914</v>
      </c>
      <c r="W46" s="318">
        <f>IF(W5&lt;=IN!$C$47,W76,0)</f>
        <v>11152.108204763041</v>
      </c>
      <c r="X46" s="318">
        <f>IF(X5&lt;=IN!$C$47,X76,0)</f>
        <v>11210.161598673332</v>
      </c>
      <c r="Y46" s="318">
        <f>IF(Y5&lt;=IN!$C$47,Y76,0)</f>
        <v>11268.80566312291</v>
      </c>
      <c r="Z46" s="318">
        <f>IF(Z5&lt;=IN!$C$47,Z76,0)</f>
        <v>0</v>
      </c>
      <c r="AA46" s="318">
        <f>IF(AA5&lt;=IN!$C$47,AA76,0)</f>
        <v>0</v>
      </c>
      <c r="AB46" s="318">
        <f>IF(AB5&lt;=IN!$C$47,AB76,0)</f>
        <v>0</v>
      </c>
      <c r="AC46" s="318">
        <f>IF(AC5&lt;=IN!$C$47,AC76,0)</f>
        <v>0</v>
      </c>
      <c r="AD46" s="318">
        <f>IF(AD5&lt;=IN!$C$47,AD76,0)</f>
        <v>0</v>
      </c>
      <c r="AE46" s="318">
        <f>IF(AE5&lt;=IN!$C$47,AE76,0)</f>
        <v>0</v>
      </c>
      <c r="AF46" s="318">
        <f>IF(AF5&lt;=IN!$C$47,AF76,0)</f>
        <v>0</v>
      </c>
      <c r="AG46" s="318">
        <f>IF(AG5&lt;=IN!$C$47,AG76,0)</f>
        <v>0</v>
      </c>
    </row>
    <row r="47" spans="2:33" x14ac:dyDescent="0.25">
      <c r="B47" s="196" t="s">
        <v>229</v>
      </c>
      <c r="C47" s="191">
        <f>C43-SUM(C45:C46)</f>
        <v>-226349.43896740716</v>
      </c>
      <c r="D47" s="191">
        <f>D43-SUM(D45:D46)</f>
        <v>118529.45462830331</v>
      </c>
      <c r="E47" s="191">
        <f>E43-SUM(E45:E46)</f>
        <v>121131.96061934502</v>
      </c>
      <c r="F47" s="191">
        <f>F43-SUM(F45:F46)</f>
        <v>123792.79221217764</v>
      </c>
      <c r="G47" s="191">
        <f t="shared" ref="G47:AB47" si="35">G43-SUM(G45:G46)</f>
        <v>126513.43290823291</v>
      </c>
      <c r="H47" s="191">
        <f t="shared" si="35"/>
        <v>129295.40614201038</v>
      </c>
      <c r="I47" s="191">
        <f t="shared" si="35"/>
        <v>132140.27638026641</v>
      </c>
      <c r="J47" s="191">
        <f t="shared" si="35"/>
        <v>113509.65025171735</v>
      </c>
      <c r="K47" s="191">
        <f t="shared" si="35"/>
        <v>138025.1777080977</v>
      </c>
      <c r="L47" s="191">
        <f t="shared" si="35"/>
        <v>141068.55321745703</v>
      </c>
      <c r="M47" s="191">
        <f t="shared" si="35"/>
        <v>144181.51699058263</v>
      </c>
      <c r="N47" s="191">
        <f t="shared" si="35"/>
        <v>147365.85624147925</v>
      </c>
      <c r="O47" s="191">
        <f t="shared" si="35"/>
        <v>150623.40648284828</v>
      </c>
      <c r="P47" s="191">
        <f t="shared" si="35"/>
        <v>132416.05285754369</v>
      </c>
      <c r="Q47" s="191">
        <f t="shared" si="35"/>
        <v>157365.73150700642</v>
      </c>
      <c r="R47" s="191">
        <f t="shared" si="35"/>
        <v>160854.43097770735</v>
      </c>
      <c r="S47" s="191">
        <f t="shared" si="35"/>
        <v>164424.19366665586</v>
      </c>
      <c r="T47" s="191">
        <f t="shared" si="35"/>
        <v>168077.11730706331</v>
      </c>
      <c r="U47" s="191">
        <f t="shared" si="35"/>
        <v>171815.35649527944</v>
      </c>
      <c r="V47" s="191">
        <f t="shared" si="35"/>
        <v>175641.12426015202</v>
      </c>
      <c r="W47" s="191">
        <f>W43-SUM(W45:W46)</f>
        <v>179870.16962202953</v>
      </c>
      <c r="X47" s="191">
        <f t="shared" si="35"/>
        <v>183895.24683464551</v>
      </c>
      <c r="Y47" s="191">
        <f t="shared" si="35"/>
        <v>188015.03237410577</v>
      </c>
      <c r="Z47" s="191">
        <f t="shared" si="35"/>
        <v>0</v>
      </c>
      <c r="AA47" s="191">
        <f t="shared" si="35"/>
        <v>0</v>
      </c>
      <c r="AB47" s="191">
        <f t="shared" si="35"/>
        <v>0</v>
      </c>
      <c r="AC47" s="191">
        <f>AC43-SUM(AC45:AC46)</f>
        <v>0</v>
      </c>
      <c r="AD47" s="191">
        <f>AD43-SUM(AD45:AD46)</f>
        <v>0</v>
      </c>
      <c r="AE47" s="191">
        <f>AE43-SUM(AE45:AE46)</f>
        <v>0</v>
      </c>
      <c r="AF47" s="191">
        <f>AF43-SUM(AF45:AF46)</f>
        <v>0</v>
      </c>
      <c r="AG47" s="402"/>
    </row>
    <row r="48" spans="2:33" x14ac:dyDescent="0.25">
      <c r="B48" s="386" t="s">
        <v>230</v>
      </c>
      <c r="C48" s="387">
        <f>IF(C5&lt;=IN!$C$47,'CE CC opz1'!C47/'CE CC opz1'!C15,"")</f>
        <v>-0.26503125439042868</v>
      </c>
      <c r="D48" s="387">
        <f>IF(D5&lt;=IN!$C$47,'CE CC opz1'!D47/'CE CC opz1'!D15,"")</f>
        <v>0.13769883725974133</v>
      </c>
      <c r="E48" s="387">
        <f>IF(E5&lt;=IN!$C$47,'CE CC opz1'!E47/'CE CC opz1'!E15,"")</f>
        <v>0.13961226166601559</v>
      </c>
      <c r="F48" s="387">
        <f>IF(F5&lt;=IN!$C$47,'CE CC opz1'!F47/'CE CC opz1'!F15,"")</f>
        <v>0.14154529743979119</v>
      </c>
      <c r="G48" s="387">
        <f>IF(G5&lt;=IN!$C$47,'CE CC opz1'!G47/'CE CC opz1'!G15,"")</f>
        <v>0.1434981728535816</v>
      </c>
      <c r="H48" s="387">
        <f>IF(H5&lt;=IN!$C$47,'CE CC opz1'!H47/'CE CC opz1'!H15,"")</f>
        <v>0.14547111827542369</v>
      </c>
      <c r="I48" s="387">
        <f>IF(I5&lt;=IN!$C$47,'CE CC opz1'!I47/'CE CC opz1'!I15,"")</f>
        <v>0.14746436616000963</v>
      </c>
      <c r="J48" s="387">
        <f>IF(J5&lt;=IN!$C$47,'CE CC opz1'!J47/'CE CC opz1'!J15,"")</f>
        <v>0.12563684995193508</v>
      </c>
      <c r="K48" s="387">
        <f>IF(K5&lt;=IN!$C$47,'CE CC opz1'!K47/'CE CC opz1'!K15,"")</f>
        <v>0.15151270951212575</v>
      </c>
      <c r="L48" s="387">
        <f>IF(L5&lt;=IN!$C$47,'CE CC opz1'!L47/'CE CC opz1'!L15,"")</f>
        <v>0.1535682802342801</v>
      </c>
      <c r="M48" s="387">
        <f>IF(M5&lt;=IN!$C$47,'CE CC opz1'!M47/'CE CC opz1'!M15,"")</f>
        <v>0.15564510390663558</v>
      </c>
      <c r="N48" s="387">
        <f>IF(N5&lt;=IN!$C$47,'CE CC opz1'!N47/'CE CC opz1'!N15,"")</f>
        <v>0.15774342326377333</v>
      </c>
      <c r="O48" s="387">
        <f>IF(O5&lt;=IN!$C$47,'CE CC opz1'!O47/'CE CC opz1'!O15,"")</f>
        <v>0.15986348306165279</v>
      </c>
      <c r="P48" s="387">
        <f>IF(P5&lt;=IN!$C$47,'CE CC opz1'!P47/'CE CC opz1'!P15,"")</f>
        <v>0.13933932725677789</v>
      </c>
      <c r="Q48" s="387">
        <f>IF(Q5&lt;=IN!$C$47,'CE CC opz1'!Q47/'CE CC opz1'!Q15,"")</f>
        <v>0.16416981303317768</v>
      </c>
      <c r="R48" s="387">
        <f>IF(R5&lt;=IN!$C$47,'CE CC opz1'!R47/'CE CC opz1'!R15,"")</f>
        <v>0.16635658270809717</v>
      </c>
      <c r="S48" s="387">
        <f>IF(S5&lt;=IN!$C$47,'CE CC opz1'!S47/'CE CC opz1'!S15,"")</f>
        <v>0.16856609179828005</v>
      </c>
      <c r="T48" s="387">
        <f>IF(T5&lt;=IN!$C$47,'CE CC opz1'!T47/'CE CC opz1'!T15,"")</f>
        <v>0.17079859496499519</v>
      </c>
      <c r="U48" s="387">
        <f>IF(U5&lt;=IN!$C$47,'CE CC opz1'!U47/'CE CC opz1'!U15,"")</f>
        <v>0.17305434880694406</v>
      </c>
      <c r="V48" s="387">
        <f>IF(V5&lt;=IN!$C$47,'CE CC opz1'!V47/'CE CC opz1'!V15,"")</f>
        <v>0.17533361184469562</v>
      </c>
      <c r="W48" s="387">
        <f>IF(W5&lt;=IN!$C$47,'CE CC opz1'!W47/'CE CC opz1'!W15,"")</f>
        <v>0.17794676836614379</v>
      </c>
      <c r="X48" s="387">
        <f>IF(X5&lt;=IN!$C$47,'CE CC opz1'!X47/'CE CC opz1'!X15,"")</f>
        <v>0.18028806671259506</v>
      </c>
      <c r="Y48" s="387">
        <f>IF(Y5&lt;=IN!$C$47,'CE CC opz1'!Y47/'CE CC opz1'!Y15,"")</f>
        <v>0.18265352734050047</v>
      </c>
      <c r="Z48" s="387" t="str">
        <f>IF(Z5&lt;=IN!$C$47,'CE CC opz1'!Z47/'CE CC opz1'!Z15,"")</f>
        <v/>
      </c>
      <c r="AA48" s="387" t="str">
        <f>IF(AA5&lt;=IN!$C$47,'CE CC opz1'!AA47/'CE CC opz1'!AA15,"")</f>
        <v/>
      </c>
      <c r="AB48" s="387" t="str">
        <f>IF(AB5&lt;=IN!$C$47,'CE CC opz1'!AB47/'CE CC opz1'!AB15,"")</f>
        <v/>
      </c>
      <c r="AC48" s="387" t="str">
        <f>IF(AC5&lt;=IN!$C$47,'CE CC opz1'!AC47/'CE CC opz1'!AC15,"")</f>
        <v/>
      </c>
      <c r="AD48" s="387" t="str">
        <f>IF(AD5&lt;=IN!$C$47,'CE CC opz1'!AD47/'CE CC opz1'!AD15,"")</f>
        <v/>
      </c>
      <c r="AE48" s="387" t="str">
        <f>IF(AE5&lt;=IN!$C$47,'CE CC opz1'!AE47/'CE CC opz1'!AE15,"")</f>
        <v/>
      </c>
      <c r="AF48" s="387" t="str">
        <f>IF(AF5&lt;=IN!$C$47,'CE CC opz1'!AF47/'CE CC opz1'!AF15,"")</f>
        <v/>
      </c>
      <c r="AG48" s="387"/>
    </row>
    <row r="49" spans="2:33" hidden="1" x14ac:dyDescent="0.25">
      <c r="B49" s="344"/>
      <c r="C49" s="346"/>
      <c r="D49" s="346"/>
      <c r="E49" s="346"/>
      <c r="F49" s="346"/>
      <c r="G49" s="346"/>
      <c r="H49" s="346"/>
      <c r="I49" s="346"/>
      <c r="J49" s="346"/>
      <c r="K49" s="346"/>
      <c r="L49" s="346"/>
      <c r="M49" s="346"/>
      <c r="N49" s="346"/>
      <c r="O49" s="346"/>
      <c r="P49" s="346"/>
      <c r="Q49" s="346"/>
      <c r="R49" s="346"/>
      <c r="S49" s="346"/>
      <c r="T49" s="346"/>
      <c r="U49" s="346"/>
      <c r="V49" s="346"/>
      <c r="W49" s="346"/>
      <c r="X49" s="346"/>
      <c r="Y49" s="346"/>
      <c r="Z49" s="346"/>
      <c r="AA49" s="346"/>
      <c r="AB49" s="346"/>
      <c r="AC49" s="346"/>
      <c r="AD49" s="346"/>
      <c r="AE49" s="346"/>
      <c r="AF49" s="346"/>
      <c r="AG49" s="346"/>
    </row>
    <row r="50" spans="2:33" hidden="1" x14ac:dyDescent="0.25">
      <c r="B50" s="412"/>
      <c r="C50" s="346"/>
      <c r="D50" s="412"/>
      <c r="E50" s="346"/>
      <c r="F50" s="346"/>
      <c r="G50" s="346"/>
      <c r="H50" s="346"/>
      <c r="I50" s="346"/>
      <c r="J50" s="346"/>
      <c r="K50" s="346"/>
      <c r="L50" s="346"/>
      <c r="M50" s="346"/>
      <c r="N50" s="346"/>
      <c r="O50" s="346"/>
      <c r="P50" s="346"/>
      <c r="Q50" s="346"/>
      <c r="R50" s="346"/>
      <c r="S50" s="346"/>
      <c r="T50" s="346"/>
      <c r="U50" s="346"/>
      <c r="V50" s="346"/>
      <c r="W50" s="346"/>
      <c r="X50" s="346"/>
      <c r="Y50" s="346"/>
      <c r="Z50" s="346"/>
      <c r="AA50" s="346"/>
      <c r="AB50" s="346"/>
      <c r="AC50" s="346"/>
      <c r="AD50" s="346"/>
      <c r="AE50" s="346"/>
      <c r="AF50" s="346"/>
      <c r="AG50" s="346"/>
    </row>
    <row r="51" spans="2:33" hidden="1" outlineLevel="1" x14ac:dyDescent="0.25">
      <c r="B51" s="344" t="s">
        <v>231</v>
      </c>
      <c r="C51" s="346" t="s">
        <v>232</v>
      </c>
      <c r="D51" s="346"/>
      <c r="E51" s="346"/>
      <c r="F51" s="346"/>
      <c r="G51" s="346"/>
      <c r="H51" s="346"/>
      <c r="I51" s="346"/>
      <c r="J51" s="346"/>
      <c r="K51" s="346"/>
      <c r="L51" s="346"/>
      <c r="M51" s="346"/>
      <c r="N51" s="346"/>
      <c r="O51" s="346"/>
      <c r="P51" s="346"/>
      <c r="Q51" s="346"/>
      <c r="R51" s="346"/>
      <c r="S51" s="346"/>
      <c r="T51" s="346"/>
      <c r="U51" s="346"/>
      <c r="V51" s="346"/>
      <c r="W51" s="346"/>
      <c r="X51" s="346"/>
      <c r="Y51" s="346"/>
      <c r="Z51" s="346"/>
      <c r="AA51" s="346"/>
      <c r="AB51" s="346"/>
      <c r="AC51" s="346"/>
      <c r="AD51" s="346"/>
      <c r="AE51" s="346"/>
      <c r="AF51" s="346"/>
      <c r="AG51" s="197"/>
    </row>
    <row r="52" spans="2:33" hidden="1" outlineLevel="1" x14ac:dyDescent="0.25">
      <c r="B52" s="405" t="s">
        <v>233</v>
      </c>
      <c r="C52" s="406">
        <f>IF(C5&lt;=IN!$C$47,1,0)</f>
        <v>1</v>
      </c>
      <c r="D52" s="406">
        <f>IF(D5&lt;=IN!$C$47,1,0)</f>
        <v>1</v>
      </c>
      <c r="E52" s="406">
        <f>IF(E5&lt;=IN!$C$47,1,0)</f>
        <v>1</v>
      </c>
      <c r="F52" s="406">
        <f>IF(F5&lt;=IN!$C$47,1,0)</f>
        <v>1</v>
      </c>
      <c r="G52" s="406">
        <f>IF(G5&lt;=IN!$C$47,1,0)</f>
        <v>1</v>
      </c>
      <c r="H52" s="406">
        <f>IF(H5&lt;=IN!$C$47,1,0)</f>
        <v>1</v>
      </c>
      <c r="I52" s="406">
        <f>IF(I5&lt;=IN!$C$47,1,0)</f>
        <v>1</v>
      </c>
      <c r="J52" s="406">
        <f>IF(J5&lt;=IN!$C$47,1,0)</f>
        <v>1</v>
      </c>
      <c r="K52" s="406">
        <f>IF(K5&lt;=IN!$C$47,1,0)</f>
        <v>1</v>
      </c>
      <c r="L52" s="406">
        <f>IF(L5&lt;=IN!$C$47,1,0)</f>
        <v>1</v>
      </c>
      <c r="M52" s="406">
        <f>IF(M5&lt;=IN!$C$47,1,0)</f>
        <v>1</v>
      </c>
      <c r="N52" s="406">
        <f>IF(N5&lt;=IN!$C$47,1,0)</f>
        <v>1</v>
      </c>
      <c r="O52" s="406">
        <f>IF(O5&lt;=IN!$C$47,1,0)</f>
        <v>1</v>
      </c>
      <c r="P52" s="406">
        <f>IF(P5&lt;=IN!$C$47,1,0)</f>
        <v>1</v>
      </c>
      <c r="Q52" s="406">
        <f>IF(Q5&lt;=IN!$C$47,1,0)</f>
        <v>1</v>
      </c>
      <c r="R52" s="406">
        <f>IF(R5&lt;=IN!$C$47,1,0)</f>
        <v>1</v>
      </c>
      <c r="S52" s="406">
        <f>IF(S5&lt;=IN!$C$47,1,0)</f>
        <v>1</v>
      </c>
      <c r="T52" s="406">
        <f>IF(T5&lt;=IN!$C$47,1,0)</f>
        <v>1</v>
      </c>
      <c r="U52" s="406">
        <f>IF(U5&lt;=IN!$C$47,1,0)</f>
        <v>1</v>
      </c>
      <c r="V52" s="406">
        <f>IF(V5&lt;=IN!$C$47,1,0)</f>
        <v>1</v>
      </c>
      <c r="W52" s="406">
        <f>IF(W5&lt;=IN!$C$47,1,0)</f>
        <v>1</v>
      </c>
      <c r="X52" s="406">
        <f>IF(X5&lt;=IN!$C$47,1,0)</f>
        <v>1</v>
      </c>
      <c r="Y52" s="406">
        <f>IF(Y5&lt;=IN!$C$47,1,0)</f>
        <v>1</v>
      </c>
      <c r="Z52" s="406">
        <f>IF(Z5&lt;=IN!$C$47,1,0)</f>
        <v>0</v>
      </c>
      <c r="AA52" s="406">
        <f>IF(AA5&lt;=IN!$C$47,1,0)</f>
        <v>0</v>
      </c>
      <c r="AB52" s="406">
        <f>IF(AB5&lt;=IN!$C$47,1,0)</f>
        <v>0</v>
      </c>
      <c r="AC52" s="406">
        <f>IF(AC5&lt;=IN!$C$47,1,0)</f>
        <v>0</v>
      </c>
      <c r="AD52" s="406">
        <f>IF(AD5&lt;=IN!$C$47,1,0)</f>
        <v>0</v>
      </c>
      <c r="AE52" s="406">
        <f>IF(AE5&lt;=IN!$C$47,1,0)</f>
        <v>0</v>
      </c>
      <c r="AF52" s="406">
        <f>IF(AF5&lt;=IN!$C$47,1,0)</f>
        <v>0</v>
      </c>
      <c r="AG52" s="406">
        <f>IF(AG5&lt;=IN!$C$47,1,0)</f>
        <v>0</v>
      </c>
    </row>
    <row r="53" spans="2:33" hidden="1" outlineLevel="1" x14ac:dyDescent="0.25">
      <c r="B53" s="407" t="s">
        <v>234</v>
      </c>
      <c r="C53" s="406"/>
      <c r="D53" s="406"/>
      <c r="E53" s="406"/>
      <c r="F53" s="406"/>
      <c r="G53" s="406"/>
      <c r="H53" s="406"/>
      <c r="I53" s="406"/>
      <c r="J53" s="406"/>
      <c r="K53" s="406"/>
      <c r="L53" s="406"/>
      <c r="M53" s="406"/>
      <c r="N53" s="406"/>
      <c r="O53" s="406"/>
      <c r="P53" s="406"/>
      <c r="Q53" s="406"/>
      <c r="R53" s="406"/>
      <c r="S53" s="406"/>
      <c r="T53" s="406"/>
      <c r="U53" s="406"/>
      <c r="V53" s="406"/>
      <c r="W53" s="406"/>
      <c r="X53" s="406"/>
      <c r="Y53" s="406"/>
      <c r="Z53" s="406"/>
      <c r="AA53" s="406"/>
      <c r="AB53" s="406"/>
      <c r="AC53" s="406"/>
      <c r="AD53" s="406"/>
      <c r="AE53" s="406"/>
      <c r="AF53" s="406"/>
      <c r="AG53" s="406"/>
    </row>
    <row r="54" spans="2:33" hidden="1" outlineLevel="1" x14ac:dyDescent="0.25">
      <c r="B54" s="347" t="s">
        <v>235</v>
      </c>
      <c r="C54" s="411">
        <v>0.3</v>
      </c>
      <c r="D54" s="99"/>
      <c r="E54" s="99"/>
      <c r="F54" s="113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99"/>
    </row>
    <row r="55" spans="2:33" hidden="1" outlineLevel="1" x14ac:dyDescent="0.25">
      <c r="B55" s="347" t="str">
        <f>CONCATENATE(C54*100,"% EBITDA")</f>
        <v>30% EBITDA</v>
      </c>
      <c r="C55" s="113">
        <f>$C$54*C$37</f>
        <v>3040.3742769946111</v>
      </c>
      <c r="D55" s="113">
        <f>$C$54*D$37</f>
        <v>142494.38213895459</v>
      </c>
      <c r="E55" s="113">
        <f>$C$54*E$37</f>
        <v>142830.91959854381</v>
      </c>
      <c r="F55" s="113">
        <f>$C$54*F$37</f>
        <v>143170.8721332587</v>
      </c>
      <c r="G55" s="113">
        <f t="shared" ref="G55:AG55" si="36">$C$54*G$37</f>
        <v>143514.27488786107</v>
      </c>
      <c r="H55" s="113">
        <f t="shared" si="36"/>
        <v>143861.16337844077</v>
      </c>
      <c r="I55" s="113">
        <f t="shared" si="36"/>
        <v>144211.57349652596</v>
      </c>
      <c r="J55" s="113">
        <f t="shared" si="36"/>
        <v>135565.54151324398</v>
      </c>
      <c r="K55" s="113">
        <f t="shared" si="36"/>
        <v>144923.10408352988</v>
      </c>
      <c r="L55" s="113">
        <f t="shared" si="36"/>
        <v>145284.2982503876</v>
      </c>
      <c r="M55" s="113">
        <f t="shared" si="36"/>
        <v>145649.16144920007</v>
      </c>
      <c r="N55" s="113">
        <f t="shared" si="36"/>
        <v>146017.73151209267</v>
      </c>
      <c r="O55" s="113">
        <f t="shared" si="36"/>
        <v>146390.04667234802</v>
      </c>
      <c r="P55" s="113">
        <f t="shared" si="36"/>
        <v>137766.14556887446</v>
      </c>
      <c r="Q55" s="113">
        <f t="shared" si="36"/>
        <v>147146.06725072791</v>
      </c>
      <c r="R55" s="113">
        <f t="shared" si="36"/>
        <v>147529.85118168901</v>
      </c>
      <c r="S55" s="113">
        <f t="shared" si="36"/>
        <v>147917.53724489463</v>
      </c>
      <c r="T55" s="113">
        <f t="shared" si="36"/>
        <v>148309.1657475259</v>
      </c>
      <c r="U55" s="113">
        <f t="shared" si="36"/>
        <v>148704.77742555292</v>
      </c>
      <c r="V55" s="113">
        <f t="shared" si="36"/>
        <v>149104.41344853703</v>
      </c>
      <c r="W55" s="113">
        <f t="shared" si="36"/>
        <v>149631.85592950694</v>
      </c>
      <c r="X55" s="113">
        <f t="shared" si="36"/>
        <v>150046.52302886616</v>
      </c>
      <c r="Y55" s="113">
        <f t="shared" si="36"/>
        <v>150465.40920350602</v>
      </c>
      <c r="Z55" s="113">
        <f t="shared" si="36"/>
        <v>0</v>
      </c>
      <c r="AA55" s="113">
        <f t="shared" si="36"/>
        <v>0</v>
      </c>
      <c r="AB55" s="113">
        <f t="shared" si="36"/>
        <v>0</v>
      </c>
      <c r="AC55" s="113">
        <f t="shared" si="36"/>
        <v>0</v>
      </c>
      <c r="AD55" s="113">
        <f t="shared" si="36"/>
        <v>0</v>
      </c>
      <c r="AE55" s="113">
        <f t="shared" si="36"/>
        <v>0</v>
      </c>
      <c r="AF55" s="113">
        <f t="shared" si="36"/>
        <v>0</v>
      </c>
      <c r="AG55" s="113">
        <f t="shared" si="36"/>
        <v>0</v>
      </c>
    </row>
    <row r="56" spans="2:33" hidden="1" outlineLevel="1" x14ac:dyDescent="0.25">
      <c r="B56" s="347" t="s">
        <v>236</v>
      </c>
      <c r="C56" s="113">
        <f>C42</f>
        <v>72843.084820291304</v>
      </c>
      <c r="D56" s="113">
        <f>D42</f>
        <v>70541.695812233083</v>
      </c>
      <c r="E56" s="113">
        <f>E42</f>
        <v>68176.098050850051</v>
      </c>
      <c r="F56" s="113">
        <f>F42</f>
        <v>65744.500111924412</v>
      </c>
      <c r="G56" s="113">
        <f>G42</f>
        <v>63245.060590502755</v>
      </c>
      <c r="H56" s="113">
        <f t="shared" ref="H56:AG56" si="37">H42</f>
        <v>60675.886706433434</v>
      </c>
      <c r="I56" s="113">
        <f t="shared" si="37"/>
        <v>58035.032870998577</v>
      </c>
      <c r="J56" s="113">
        <f t="shared" si="37"/>
        <v>55320.499213555093</v>
      </c>
      <c r="K56" s="113">
        <f t="shared" si="37"/>
        <v>52530.230067068929</v>
      </c>
      <c r="L56" s="113">
        <f t="shared" si="37"/>
        <v>49662.112411395807</v>
      </c>
      <c r="M56" s="113">
        <f t="shared" si="37"/>
        <v>46713.974273129403</v>
      </c>
      <c r="N56" s="113">
        <f t="shared" si="37"/>
        <v>43683.583080805365</v>
      </c>
      <c r="O56" s="113">
        <f t="shared" si="37"/>
        <v>40568.643974215483</v>
      </c>
      <c r="P56" s="113">
        <f t="shared" si="37"/>
        <v>37366.798066551746</v>
      </c>
      <c r="Q56" s="113">
        <f t="shared" si="37"/>
        <v>34075.620658064188</v>
      </c>
      <c r="R56" s="113">
        <f t="shared" si="37"/>
        <v>30692.619399879834</v>
      </c>
      <c r="S56" s="113">
        <f t="shared" si="37"/>
        <v>27215.232406592135</v>
      </c>
      <c r="T56" s="113">
        <f t="shared" si="37"/>
        <v>23640.826316191706</v>
      </c>
      <c r="U56" s="113">
        <f t="shared" si="37"/>
        <v>19966.694295869103</v>
      </c>
      <c r="V56" s="113">
        <f t="shared" si="37"/>
        <v>16190.053992179503</v>
      </c>
      <c r="W56" s="113">
        <f t="shared" si="37"/>
        <v>12308.04542401696</v>
      </c>
      <c r="X56" s="113">
        <f t="shared" si="37"/>
        <v>8317.7288168026807</v>
      </c>
      <c r="Y56" s="113">
        <f t="shared" si="37"/>
        <v>4216.0823762471255</v>
      </c>
      <c r="Z56" s="113">
        <f t="shared" si="37"/>
        <v>0</v>
      </c>
      <c r="AA56" s="113">
        <f t="shared" si="37"/>
        <v>0</v>
      </c>
      <c r="AB56" s="113">
        <f t="shared" si="37"/>
        <v>0</v>
      </c>
      <c r="AC56" s="113">
        <f t="shared" si="37"/>
        <v>0</v>
      </c>
      <c r="AD56" s="113">
        <f t="shared" si="37"/>
        <v>0</v>
      </c>
      <c r="AE56" s="113">
        <f t="shared" si="37"/>
        <v>0</v>
      </c>
      <c r="AF56" s="113">
        <f t="shared" si="37"/>
        <v>0</v>
      </c>
      <c r="AG56" s="113">
        <f t="shared" si="37"/>
        <v>0</v>
      </c>
    </row>
    <row r="57" spans="2:33" hidden="1" outlineLevel="1" x14ac:dyDescent="0.25">
      <c r="B57" s="347"/>
      <c r="C57" s="393"/>
      <c r="D57" s="393"/>
      <c r="E57" s="393"/>
      <c r="F57" s="393"/>
      <c r="G57" s="393"/>
      <c r="H57" s="393"/>
      <c r="I57" s="393"/>
      <c r="J57" s="393"/>
      <c r="K57" s="393"/>
      <c r="L57" s="393"/>
      <c r="M57" s="393"/>
      <c r="N57" s="393"/>
      <c r="O57" s="393"/>
      <c r="P57" s="393"/>
      <c r="Q57" s="393"/>
      <c r="R57" s="393"/>
      <c r="S57" s="393"/>
      <c r="T57" s="393"/>
      <c r="U57" s="393"/>
      <c r="V57" s="393"/>
      <c r="W57" s="393"/>
      <c r="X57" s="393"/>
      <c r="Y57" s="393"/>
      <c r="Z57" s="393"/>
      <c r="AA57" s="393"/>
      <c r="AB57" s="393"/>
      <c r="AC57" s="393"/>
      <c r="AD57" s="393"/>
      <c r="AE57" s="393"/>
      <c r="AF57" s="393"/>
      <c r="AG57" s="393"/>
    </row>
    <row r="58" spans="2:33" hidden="1" outlineLevel="1" x14ac:dyDescent="0.25">
      <c r="B58" s="347" t="s">
        <v>237</v>
      </c>
      <c r="C58" s="113">
        <f>IF(C55&lt;0,C56,IF(C56&gt;C55,(C56-C55),0))</f>
        <v>69802.710543296693</v>
      </c>
      <c r="D58" s="113">
        <f>IF((C59+D55)&lt;0,D56,IF(D56&gt;(D55+C59),D56-(C59+D55),0))</f>
        <v>0</v>
      </c>
      <c r="E58" s="113">
        <f>IF((D59+E55)&lt;0,E56,IF(E56&gt;(E55+D59),E56-(D59+E55),0))</f>
        <v>0</v>
      </c>
      <c r="F58" s="113">
        <f>IF((E59+F55)&lt;0,F56,IF(F56&gt;(F55+E59),F56-(E59+F55),0))</f>
        <v>0</v>
      </c>
      <c r="G58" s="113">
        <f t="shared" ref="G58:AG58" si="38">IF((F59+G55)&lt;0,G56,IF(G56&gt;(G55+F59),G56-(F59+G55),0))</f>
        <v>0</v>
      </c>
      <c r="H58" s="113">
        <f t="shared" si="38"/>
        <v>0</v>
      </c>
      <c r="I58" s="113">
        <f t="shared" si="38"/>
        <v>0</v>
      </c>
      <c r="J58" s="113">
        <f t="shared" si="38"/>
        <v>0</v>
      </c>
      <c r="K58" s="113">
        <f t="shared" si="38"/>
        <v>0</v>
      </c>
      <c r="L58" s="113">
        <f t="shared" si="38"/>
        <v>0</v>
      </c>
      <c r="M58" s="113">
        <f t="shared" si="38"/>
        <v>0</v>
      </c>
      <c r="N58" s="113">
        <f t="shared" si="38"/>
        <v>0</v>
      </c>
      <c r="O58" s="113">
        <f t="shared" si="38"/>
        <v>0</v>
      </c>
      <c r="P58" s="113">
        <f t="shared" si="38"/>
        <v>0</v>
      </c>
      <c r="Q58" s="113">
        <f t="shared" si="38"/>
        <v>0</v>
      </c>
      <c r="R58" s="113">
        <f t="shared" si="38"/>
        <v>0</v>
      </c>
      <c r="S58" s="113">
        <f t="shared" si="38"/>
        <v>0</v>
      </c>
      <c r="T58" s="113">
        <f t="shared" si="38"/>
        <v>0</v>
      </c>
      <c r="U58" s="113">
        <f t="shared" si="38"/>
        <v>0</v>
      </c>
      <c r="V58" s="113">
        <f t="shared" si="38"/>
        <v>0</v>
      </c>
      <c r="W58" s="113">
        <f t="shared" si="38"/>
        <v>0</v>
      </c>
      <c r="X58" s="113">
        <f t="shared" si="38"/>
        <v>0</v>
      </c>
      <c r="Y58" s="113">
        <f t="shared" si="38"/>
        <v>0</v>
      </c>
      <c r="Z58" s="113">
        <f t="shared" si="38"/>
        <v>0</v>
      </c>
      <c r="AA58" s="113">
        <f t="shared" si="38"/>
        <v>0</v>
      </c>
      <c r="AB58" s="113">
        <f t="shared" si="38"/>
        <v>0</v>
      </c>
      <c r="AC58" s="113">
        <f t="shared" si="38"/>
        <v>0</v>
      </c>
      <c r="AD58" s="113">
        <f t="shared" si="38"/>
        <v>0</v>
      </c>
      <c r="AE58" s="113">
        <f t="shared" si="38"/>
        <v>0</v>
      </c>
      <c r="AF58" s="113">
        <f t="shared" si="38"/>
        <v>0</v>
      </c>
      <c r="AG58" s="113">
        <f t="shared" si="38"/>
        <v>0</v>
      </c>
    </row>
    <row r="59" spans="2:33" hidden="1" outlineLevel="1" x14ac:dyDescent="0.25">
      <c r="B59" s="347" t="s">
        <v>238</v>
      </c>
      <c r="C59" s="113">
        <f>IF(C56&lt;C55,(C55-C56),0)*C52</f>
        <v>0</v>
      </c>
      <c r="D59" s="113">
        <f>IF(D56&lt;(C59+D55),(C59+D55)-D56,0)*D52</f>
        <v>71952.686326721509</v>
      </c>
      <c r="E59" s="113">
        <f>IF(E56&lt;(D59+E55),(D59+E55)-E56,0)*E52</f>
        <v>146607.50787441526</v>
      </c>
      <c r="F59" s="113">
        <f>IF(F56&lt;(E59+F55),(E59+F55)-F56,0)*F52</f>
        <v>224033.87989574956</v>
      </c>
      <c r="G59" s="113">
        <f t="shared" ref="G59:AG59" si="39">IF(G56&lt;(F59+G55),(F59+G55)-G56,0)*G52</f>
        <v>304303.09419310786</v>
      </c>
      <c r="H59" s="113">
        <f t="shared" si="39"/>
        <v>387488.3708651152</v>
      </c>
      <c r="I59" s="113">
        <f t="shared" si="39"/>
        <v>473664.91149064258</v>
      </c>
      <c r="J59" s="113">
        <f t="shared" si="39"/>
        <v>553909.95379033149</v>
      </c>
      <c r="K59" s="113">
        <f t="shared" si="39"/>
        <v>646302.82780679245</v>
      </c>
      <c r="L59" s="113">
        <f t="shared" si="39"/>
        <v>741925.01364578435</v>
      </c>
      <c r="M59" s="113">
        <f t="shared" si="39"/>
        <v>840860.20082185511</v>
      </c>
      <c r="N59" s="113">
        <f t="shared" si="39"/>
        <v>943194.34925314237</v>
      </c>
      <c r="O59" s="113">
        <f t="shared" si="39"/>
        <v>1049015.7519512749</v>
      </c>
      <c r="P59" s="113">
        <f t="shared" si="39"/>
        <v>1149415.0994535976</v>
      </c>
      <c r="Q59" s="113">
        <f t="shared" si="39"/>
        <v>1262485.5460462612</v>
      </c>
      <c r="R59" s="113">
        <f t="shared" si="39"/>
        <v>1379322.7778280703</v>
      </c>
      <c r="S59" s="113">
        <f t="shared" si="39"/>
        <v>1500025.0826663726</v>
      </c>
      <c r="T59" s="113">
        <f t="shared" si="39"/>
        <v>1624693.4220977067</v>
      </c>
      <c r="U59" s="113">
        <f t="shared" si="39"/>
        <v>1753431.5052273904</v>
      </c>
      <c r="V59" s="113">
        <f t="shared" si="39"/>
        <v>1886345.864683748</v>
      </c>
      <c r="W59" s="113">
        <f t="shared" si="39"/>
        <v>2023669.675189238</v>
      </c>
      <c r="X59" s="113">
        <f t="shared" si="39"/>
        <v>2165398.4694013018</v>
      </c>
      <c r="Y59" s="113">
        <f t="shared" si="39"/>
        <v>2311647.7962285606</v>
      </c>
      <c r="Z59" s="113">
        <f t="shared" si="39"/>
        <v>0</v>
      </c>
      <c r="AA59" s="113">
        <f t="shared" si="39"/>
        <v>0</v>
      </c>
      <c r="AB59" s="113">
        <f t="shared" si="39"/>
        <v>0</v>
      </c>
      <c r="AC59" s="113">
        <f t="shared" si="39"/>
        <v>0</v>
      </c>
      <c r="AD59" s="113">
        <f t="shared" si="39"/>
        <v>0</v>
      </c>
      <c r="AE59" s="113">
        <f t="shared" si="39"/>
        <v>0</v>
      </c>
      <c r="AF59" s="113">
        <f t="shared" si="39"/>
        <v>0</v>
      </c>
      <c r="AG59" s="113">
        <f t="shared" si="39"/>
        <v>0</v>
      </c>
    </row>
    <row r="60" spans="2:33" hidden="1" outlineLevel="1" x14ac:dyDescent="0.25">
      <c r="B60" s="347" t="s">
        <v>239</v>
      </c>
      <c r="C60" s="113">
        <f>IF((C58-C59)&gt;0,(C58-C59),0)</f>
        <v>69802.710543296693</v>
      </c>
      <c r="D60" s="113">
        <f>IF((D58-D59)&gt;0,(D58-D59),0)</f>
        <v>0</v>
      </c>
      <c r="E60" s="113">
        <f>IF((E58-E59)&gt;0,(E58-E59),0)</f>
        <v>0</v>
      </c>
      <c r="F60" s="113">
        <f>IF((F58-F59)&gt;0,(F58-F59),0)</f>
        <v>0</v>
      </c>
      <c r="G60" s="113">
        <f t="shared" ref="G60:AG60" si="40">IF((G58-G59)&gt;0,(G58-G59),0)</f>
        <v>0</v>
      </c>
      <c r="H60" s="113">
        <f t="shared" si="40"/>
        <v>0</v>
      </c>
      <c r="I60" s="113">
        <f t="shared" si="40"/>
        <v>0</v>
      </c>
      <c r="J60" s="113">
        <f t="shared" si="40"/>
        <v>0</v>
      </c>
      <c r="K60" s="113">
        <f t="shared" si="40"/>
        <v>0</v>
      </c>
      <c r="L60" s="113">
        <f t="shared" si="40"/>
        <v>0</v>
      </c>
      <c r="M60" s="113">
        <f t="shared" si="40"/>
        <v>0</v>
      </c>
      <c r="N60" s="113">
        <f t="shared" si="40"/>
        <v>0</v>
      </c>
      <c r="O60" s="113">
        <f t="shared" si="40"/>
        <v>0</v>
      </c>
      <c r="P60" s="113">
        <f t="shared" si="40"/>
        <v>0</v>
      </c>
      <c r="Q60" s="113">
        <f t="shared" si="40"/>
        <v>0</v>
      </c>
      <c r="R60" s="113">
        <f t="shared" si="40"/>
        <v>0</v>
      </c>
      <c r="S60" s="113">
        <f t="shared" si="40"/>
        <v>0</v>
      </c>
      <c r="T60" s="113">
        <f t="shared" si="40"/>
        <v>0</v>
      </c>
      <c r="U60" s="113">
        <f t="shared" si="40"/>
        <v>0</v>
      </c>
      <c r="V60" s="113">
        <f t="shared" si="40"/>
        <v>0</v>
      </c>
      <c r="W60" s="113">
        <f t="shared" si="40"/>
        <v>0</v>
      </c>
      <c r="X60" s="113">
        <f t="shared" si="40"/>
        <v>0</v>
      </c>
      <c r="Y60" s="113">
        <f t="shared" si="40"/>
        <v>0</v>
      </c>
      <c r="Z60" s="113">
        <f t="shared" si="40"/>
        <v>0</v>
      </c>
      <c r="AA60" s="113">
        <f t="shared" si="40"/>
        <v>0</v>
      </c>
      <c r="AB60" s="113">
        <f t="shared" si="40"/>
        <v>0</v>
      </c>
      <c r="AC60" s="113">
        <f t="shared" si="40"/>
        <v>0</v>
      </c>
      <c r="AD60" s="113">
        <f t="shared" si="40"/>
        <v>0</v>
      </c>
      <c r="AE60" s="113">
        <f t="shared" si="40"/>
        <v>0</v>
      </c>
      <c r="AF60" s="113">
        <f t="shared" si="40"/>
        <v>0</v>
      </c>
      <c r="AG60" s="113">
        <f t="shared" si="40"/>
        <v>0</v>
      </c>
    </row>
    <row r="61" spans="2:33" hidden="1" outlineLevel="1" x14ac:dyDescent="0.25">
      <c r="B61" s="347" t="s">
        <v>240</v>
      </c>
      <c r="C61" s="113"/>
      <c r="D61" s="113">
        <f>MIN(C62,D59)</f>
        <v>69802.710543296693</v>
      </c>
      <c r="E61" s="113">
        <f>MIN(SUM($C$62:D$62),E59)</f>
        <v>0</v>
      </c>
      <c r="F61" s="113">
        <f>MIN(SUM($C$62:E$62),F59)</f>
        <v>0</v>
      </c>
      <c r="G61" s="113">
        <f>MIN(SUM($C$62:F$62),G59)</f>
        <v>0</v>
      </c>
      <c r="H61" s="113">
        <f>MIN(SUM($C$62:G$62),H59)</f>
        <v>0</v>
      </c>
      <c r="I61" s="113">
        <f>MIN(SUM($C$62:H$62),I59)</f>
        <v>0</v>
      </c>
      <c r="J61" s="113">
        <f>MIN(SUM($C$62:I$62),J59)</f>
        <v>0</v>
      </c>
      <c r="K61" s="113">
        <f>MIN(SUM($C$62:J$62),K59)</f>
        <v>0</v>
      </c>
      <c r="L61" s="113">
        <f>MIN(SUM($C$62:K$62),L59)</f>
        <v>0</v>
      </c>
      <c r="M61" s="113">
        <f>MIN(SUM($C$62:L$62),M59)</f>
        <v>0</v>
      </c>
      <c r="N61" s="113">
        <f>MIN(SUM($C$62:M$62),N59)</f>
        <v>0</v>
      </c>
      <c r="O61" s="113">
        <f>MIN(SUM($C$62:N$62),O59)</f>
        <v>0</v>
      </c>
      <c r="P61" s="113">
        <f>MIN(SUM($C$62:O$62),P59)</f>
        <v>0</v>
      </c>
      <c r="Q61" s="113">
        <f>MIN(SUM($C$62:P$62),Q59)</f>
        <v>0</v>
      </c>
      <c r="R61" s="113">
        <f>MIN(SUM($C$62:Q$62),R59)</f>
        <v>0</v>
      </c>
      <c r="S61" s="113">
        <f>MIN(SUM($C$62:R$62),S59)</f>
        <v>0</v>
      </c>
      <c r="T61" s="113">
        <f>MIN(SUM($C$62:S$62),T59)</f>
        <v>0</v>
      </c>
      <c r="U61" s="113">
        <f>MIN(SUM($C$62:T$62),U59)</f>
        <v>0</v>
      </c>
      <c r="V61" s="113">
        <f>MIN(SUM($C$62:U$62),V59)</f>
        <v>0</v>
      </c>
      <c r="W61" s="113">
        <f>MIN(SUM($C$62:V$62),W59)</f>
        <v>0</v>
      </c>
      <c r="X61" s="113">
        <f>MIN(SUM($C$62:W$62),X59)</f>
        <v>0</v>
      </c>
      <c r="Y61" s="113">
        <f>MIN(SUM($C$62:X$62),Y59)</f>
        <v>0</v>
      </c>
      <c r="Z61" s="113">
        <f>MIN(SUM($C$62:Y$62),Z59)</f>
        <v>0</v>
      </c>
      <c r="AA61" s="113">
        <f>MIN(SUM($C$62:Z$62),AA59)</f>
        <v>0</v>
      </c>
      <c r="AB61" s="113">
        <f>MIN(SUM($C$62:AA$62),AB59)</f>
        <v>0</v>
      </c>
      <c r="AC61" s="113">
        <f>MIN(SUM($C$62:AB$62),AC59)</f>
        <v>0</v>
      </c>
      <c r="AD61" s="113">
        <f>MIN(SUM($C$62:AC$62),AD59)</f>
        <v>0</v>
      </c>
      <c r="AE61" s="113">
        <f>MIN(SUM($C$62:AD$62),AE59)</f>
        <v>0</v>
      </c>
      <c r="AF61" s="113">
        <f>MIN(SUM($C$62:AE$62),AF59)</f>
        <v>0</v>
      </c>
      <c r="AG61" s="113">
        <f>MIN(SUM($C$62:AF$62),AG59)</f>
        <v>0</v>
      </c>
    </row>
    <row r="62" spans="2:33" hidden="1" outlineLevel="1" x14ac:dyDescent="0.25">
      <c r="B62" s="404" t="s">
        <v>241</v>
      </c>
      <c r="C62" s="113">
        <f>C60-C61</f>
        <v>69802.710543296693</v>
      </c>
      <c r="D62" s="113">
        <f>D60-D61</f>
        <v>-69802.710543296693</v>
      </c>
      <c r="E62" s="113">
        <f>E60-E61</f>
        <v>0</v>
      </c>
      <c r="F62" s="113">
        <f t="shared" ref="F62:H62" si="41">F60-F61</f>
        <v>0</v>
      </c>
      <c r="G62" s="113">
        <f t="shared" si="41"/>
        <v>0</v>
      </c>
      <c r="H62" s="113">
        <f t="shared" si="41"/>
        <v>0</v>
      </c>
      <c r="I62" s="113">
        <f t="shared" ref="I62:AG62" si="42">I60-I61</f>
        <v>0</v>
      </c>
      <c r="J62" s="113">
        <f t="shared" si="42"/>
        <v>0</v>
      </c>
      <c r="K62" s="113">
        <f t="shared" si="42"/>
        <v>0</v>
      </c>
      <c r="L62" s="113">
        <f t="shared" si="42"/>
        <v>0</v>
      </c>
      <c r="M62" s="113">
        <f t="shared" si="42"/>
        <v>0</v>
      </c>
      <c r="N62" s="113">
        <f t="shared" si="42"/>
        <v>0</v>
      </c>
      <c r="O62" s="113">
        <f t="shared" si="42"/>
        <v>0</v>
      </c>
      <c r="P62" s="113">
        <f t="shared" si="42"/>
        <v>0</v>
      </c>
      <c r="Q62" s="113">
        <f t="shared" si="42"/>
        <v>0</v>
      </c>
      <c r="R62" s="113">
        <f t="shared" si="42"/>
        <v>0</v>
      </c>
      <c r="S62" s="113">
        <f t="shared" si="42"/>
        <v>0</v>
      </c>
      <c r="T62" s="113">
        <f t="shared" si="42"/>
        <v>0</v>
      </c>
      <c r="U62" s="113">
        <f t="shared" si="42"/>
        <v>0</v>
      </c>
      <c r="V62" s="113">
        <f t="shared" si="42"/>
        <v>0</v>
      </c>
      <c r="W62" s="113">
        <f t="shared" si="42"/>
        <v>0</v>
      </c>
      <c r="X62" s="113">
        <f t="shared" si="42"/>
        <v>0</v>
      </c>
      <c r="Y62" s="113">
        <f t="shared" si="42"/>
        <v>0</v>
      </c>
      <c r="Z62" s="113">
        <f t="shared" si="42"/>
        <v>0</v>
      </c>
      <c r="AA62" s="113">
        <f t="shared" si="42"/>
        <v>0</v>
      </c>
      <c r="AB62" s="113">
        <f t="shared" si="42"/>
        <v>0</v>
      </c>
      <c r="AC62" s="113">
        <f t="shared" si="42"/>
        <v>0</v>
      </c>
      <c r="AD62" s="113">
        <f t="shared" si="42"/>
        <v>0</v>
      </c>
      <c r="AE62" s="113">
        <f t="shared" si="42"/>
        <v>0</v>
      </c>
      <c r="AF62" s="113">
        <f t="shared" si="42"/>
        <v>0</v>
      </c>
      <c r="AG62" s="113">
        <f t="shared" si="42"/>
        <v>0</v>
      </c>
    </row>
    <row r="63" spans="2:33" hidden="1" outlineLevel="1" x14ac:dyDescent="0.25">
      <c r="B63" s="347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</row>
    <row r="64" spans="2:33" hidden="1" outlineLevel="1" x14ac:dyDescent="0.25">
      <c r="B64" s="408" t="s">
        <v>242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</row>
    <row r="65" spans="2:33" hidden="1" outlineLevel="1" x14ac:dyDescent="0.25">
      <c r="B65" s="404" t="s">
        <v>243</v>
      </c>
      <c r="C65" s="113">
        <f>C43+C62</f>
        <v>-228025.4986243443</v>
      </c>
      <c r="D65" s="113">
        <f>D43+D62</f>
        <v>99517.162170320444</v>
      </c>
      <c r="E65" s="113">
        <f t="shared" ref="E65:H65" si="43">E43+E62</f>
        <v>172807.26200696424</v>
      </c>
      <c r="F65" s="113">
        <f t="shared" si="43"/>
        <v>176372.03506160621</v>
      </c>
      <c r="G65" s="113">
        <f t="shared" si="43"/>
        <v>180016.15043170247</v>
      </c>
      <c r="H65" s="113">
        <f t="shared" si="43"/>
        <v>183741.61928437077</v>
      </c>
      <c r="I65" s="113">
        <f t="shared" ref="I65:AG65" si="44">I43+I62</f>
        <v>187550.50684675621</v>
      </c>
      <c r="J65" s="113">
        <f t="shared" si="44"/>
        <v>161444.93389325973</v>
      </c>
      <c r="K65" s="113">
        <f t="shared" si="44"/>
        <v>195427.07827403228</v>
      </c>
      <c r="L65" s="113">
        <f t="shared" si="44"/>
        <v>199499.1764858978</v>
      </c>
      <c r="M65" s="113">
        <f t="shared" si="44"/>
        <v>203663.52528687246</v>
      </c>
      <c r="N65" s="113">
        <f t="shared" si="44"/>
        <v>207922.48335550507</v>
      </c>
      <c r="O65" s="113">
        <f t="shared" si="44"/>
        <v>212278.47299627951</v>
      </c>
      <c r="P65" s="113">
        <f t="shared" si="44"/>
        <v>186733.98189236471</v>
      </c>
      <c r="Q65" s="113">
        <f t="shared" si="44"/>
        <v>221291.56490703049</v>
      </c>
      <c r="R65" s="113">
        <f t="shared" si="44"/>
        <v>225953.84593508512</v>
      </c>
      <c r="S65" s="113">
        <f t="shared" si="44"/>
        <v>230723.51980572485</v>
      </c>
      <c r="T65" s="113">
        <f t="shared" si="44"/>
        <v>235603.3542382296</v>
      </c>
      <c r="U65" s="113">
        <f t="shared" si="44"/>
        <v>240596.1918519756</v>
      </c>
      <c r="V65" s="113">
        <f t="shared" si="44"/>
        <v>245704.95223227885</v>
      </c>
      <c r="W65" s="113">
        <f t="shared" si="44"/>
        <v>251345.10240367445</v>
      </c>
      <c r="X65" s="113">
        <f t="shared" si="44"/>
        <v>256717.64267541951</v>
      </c>
      <c r="Y65" s="113">
        <f t="shared" si="44"/>
        <v>262215.57636477455</v>
      </c>
      <c r="Z65" s="113">
        <f t="shared" si="44"/>
        <v>0</v>
      </c>
      <c r="AA65" s="113">
        <f t="shared" si="44"/>
        <v>0</v>
      </c>
      <c r="AB65" s="113">
        <f t="shared" si="44"/>
        <v>0</v>
      </c>
      <c r="AC65" s="113">
        <f t="shared" si="44"/>
        <v>0</v>
      </c>
      <c r="AD65" s="113">
        <f t="shared" si="44"/>
        <v>0</v>
      </c>
      <c r="AE65" s="113">
        <f t="shared" si="44"/>
        <v>0</v>
      </c>
      <c r="AF65" s="113">
        <f t="shared" si="44"/>
        <v>0</v>
      </c>
      <c r="AG65" s="113">
        <f t="shared" si="44"/>
        <v>0</v>
      </c>
    </row>
    <row r="66" spans="2:33" hidden="1" outlineLevel="1" x14ac:dyDescent="0.25">
      <c r="B66" s="347" t="s">
        <v>244</v>
      </c>
      <c r="C66" s="113">
        <f>IF(C65&gt;0,0,C65)</f>
        <v>-228025.4986243443</v>
      </c>
      <c r="D66" s="113">
        <f>IF(D65&gt;0,C66+D67,C66+D65)</f>
        <v>-148411.76888808794</v>
      </c>
      <c r="E66" s="113">
        <f>IF(E65&gt;0,D66+E67,D66+E65)</f>
        <v>-10165.959282516531</v>
      </c>
      <c r="F66" s="113">
        <f>IF(F65&gt;0,E66+F67,E66+F65)</f>
        <v>0</v>
      </c>
      <c r="G66" s="113">
        <f t="shared" ref="G66:AG66" si="45">IF(G65&gt;0,F66+G67,F66+G65)</f>
        <v>0</v>
      </c>
      <c r="H66" s="113">
        <f t="shared" si="45"/>
        <v>0</v>
      </c>
      <c r="I66" s="113">
        <f t="shared" si="45"/>
        <v>0</v>
      </c>
      <c r="J66" s="113">
        <f t="shared" si="45"/>
        <v>0</v>
      </c>
      <c r="K66" s="113">
        <f t="shared" si="45"/>
        <v>0</v>
      </c>
      <c r="L66" s="113">
        <f t="shared" si="45"/>
        <v>0</v>
      </c>
      <c r="M66" s="113">
        <f t="shared" si="45"/>
        <v>0</v>
      </c>
      <c r="N66" s="113">
        <f t="shared" si="45"/>
        <v>0</v>
      </c>
      <c r="O66" s="113">
        <f t="shared" si="45"/>
        <v>0</v>
      </c>
      <c r="P66" s="113">
        <f t="shared" si="45"/>
        <v>0</v>
      </c>
      <c r="Q66" s="113">
        <f t="shared" si="45"/>
        <v>0</v>
      </c>
      <c r="R66" s="113">
        <f t="shared" si="45"/>
        <v>0</v>
      </c>
      <c r="S66" s="113">
        <f t="shared" si="45"/>
        <v>0</v>
      </c>
      <c r="T66" s="113">
        <f t="shared" si="45"/>
        <v>0</v>
      </c>
      <c r="U66" s="113">
        <f t="shared" si="45"/>
        <v>0</v>
      </c>
      <c r="V66" s="113">
        <f t="shared" si="45"/>
        <v>0</v>
      </c>
      <c r="W66" s="113">
        <f t="shared" si="45"/>
        <v>0</v>
      </c>
      <c r="X66" s="113">
        <f t="shared" si="45"/>
        <v>0</v>
      </c>
      <c r="Y66" s="113">
        <f t="shared" si="45"/>
        <v>0</v>
      </c>
      <c r="Z66" s="113">
        <f t="shared" si="45"/>
        <v>0</v>
      </c>
      <c r="AA66" s="113">
        <f t="shared" si="45"/>
        <v>0</v>
      </c>
      <c r="AB66" s="113">
        <f t="shared" si="45"/>
        <v>0</v>
      </c>
      <c r="AC66" s="113">
        <f t="shared" si="45"/>
        <v>0</v>
      </c>
      <c r="AD66" s="113">
        <f t="shared" si="45"/>
        <v>0</v>
      </c>
      <c r="AE66" s="113">
        <f t="shared" si="45"/>
        <v>0</v>
      </c>
      <c r="AF66" s="113">
        <f t="shared" si="45"/>
        <v>0</v>
      </c>
      <c r="AG66" s="113">
        <f t="shared" si="45"/>
        <v>0</v>
      </c>
    </row>
    <row r="67" spans="2:33" hidden="1" outlineLevel="1" x14ac:dyDescent="0.25">
      <c r="B67" s="347" t="s">
        <v>245</v>
      </c>
      <c r="C67" s="113">
        <v>0</v>
      </c>
      <c r="D67" s="113">
        <f>IF(D65&gt;0,MIN(C66*-1,D65*0.8))*D52</f>
        <v>79613.729736256355</v>
      </c>
      <c r="E67" s="113">
        <f>IF(E65&gt;0,MIN(D66*-1,E65*0.8))*E52</f>
        <v>138245.80960557141</v>
      </c>
      <c r="F67" s="113">
        <f>IF(F65&gt;0,MIN(E66*-1,F65*0.8))*F52</f>
        <v>10165.959282516531</v>
      </c>
      <c r="G67" s="113">
        <f t="shared" ref="G67:AG67" si="46">IF(G65&gt;0,MIN(F66*-1,G65*0.8))*G52</f>
        <v>0</v>
      </c>
      <c r="H67" s="113">
        <f t="shared" si="46"/>
        <v>0</v>
      </c>
      <c r="I67" s="113">
        <f t="shared" si="46"/>
        <v>0</v>
      </c>
      <c r="J67" s="113">
        <f t="shared" si="46"/>
        <v>0</v>
      </c>
      <c r="K67" s="113">
        <f t="shared" si="46"/>
        <v>0</v>
      </c>
      <c r="L67" s="113">
        <f t="shared" si="46"/>
        <v>0</v>
      </c>
      <c r="M67" s="113">
        <f t="shared" si="46"/>
        <v>0</v>
      </c>
      <c r="N67" s="113">
        <f t="shared" si="46"/>
        <v>0</v>
      </c>
      <c r="O67" s="113">
        <f t="shared" si="46"/>
        <v>0</v>
      </c>
      <c r="P67" s="113">
        <f t="shared" si="46"/>
        <v>0</v>
      </c>
      <c r="Q67" s="113">
        <f t="shared" si="46"/>
        <v>0</v>
      </c>
      <c r="R67" s="113">
        <f t="shared" si="46"/>
        <v>0</v>
      </c>
      <c r="S67" s="113">
        <f t="shared" si="46"/>
        <v>0</v>
      </c>
      <c r="T67" s="113">
        <f t="shared" si="46"/>
        <v>0</v>
      </c>
      <c r="U67" s="113">
        <f t="shared" si="46"/>
        <v>0</v>
      </c>
      <c r="V67" s="113">
        <f t="shared" si="46"/>
        <v>0</v>
      </c>
      <c r="W67" s="113">
        <f t="shared" si="46"/>
        <v>0</v>
      </c>
      <c r="X67" s="113">
        <f t="shared" si="46"/>
        <v>0</v>
      </c>
      <c r="Y67" s="113">
        <f t="shared" si="46"/>
        <v>0</v>
      </c>
      <c r="Z67" s="113">
        <f t="shared" si="46"/>
        <v>0</v>
      </c>
      <c r="AA67" s="113">
        <f t="shared" si="46"/>
        <v>0</v>
      </c>
      <c r="AB67" s="113">
        <f t="shared" si="46"/>
        <v>0</v>
      </c>
      <c r="AC67" s="113">
        <f t="shared" si="46"/>
        <v>0</v>
      </c>
      <c r="AD67" s="113">
        <f t="shared" si="46"/>
        <v>0</v>
      </c>
      <c r="AE67" s="113">
        <f t="shared" si="46"/>
        <v>0</v>
      </c>
      <c r="AF67" s="113">
        <f t="shared" si="46"/>
        <v>0</v>
      </c>
      <c r="AG67" s="113">
        <f t="shared" si="46"/>
        <v>0</v>
      </c>
    </row>
    <row r="68" spans="2:33" hidden="1" outlineLevel="1" x14ac:dyDescent="0.25">
      <c r="B68" s="347"/>
      <c r="C68" s="113"/>
      <c r="D68" s="113"/>
      <c r="E68" s="113"/>
      <c r="F68" s="113"/>
      <c r="G68" s="113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/>
      <c r="AC68" s="113"/>
      <c r="AD68" s="113"/>
      <c r="AE68" s="113"/>
      <c r="AF68" s="113"/>
      <c r="AG68" s="113"/>
    </row>
    <row r="69" spans="2:33" hidden="1" outlineLevel="1" x14ac:dyDescent="0.25">
      <c r="B69" s="409" t="s">
        <v>246</v>
      </c>
      <c r="C69" s="393"/>
      <c r="D69" s="393"/>
      <c r="E69" s="393"/>
      <c r="F69" s="393"/>
      <c r="G69" s="393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3"/>
      <c r="S69" s="393"/>
      <c r="T69" s="393"/>
      <c r="U69" s="393"/>
      <c r="V69" s="393"/>
      <c r="W69" s="393"/>
      <c r="X69" s="393"/>
      <c r="Y69" s="393"/>
      <c r="Z69" s="393"/>
      <c r="AA69" s="393"/>
      <c r="AB69" s="393"/>
      <c r="AC69" s="393"/>
      <c r="AD69" s="393"/>
      <c r="AE69" s="393"/>
      <c r="AF69" s="393"/>
      <c r="AG69" s="393"/>
    </row>
    <row r="70" spans="2:33" hidden="1" outlineLevel="1" x14ac:dyDescent="0.25">
      <c r="B70" s="347" t="s">
        <v>247</v>
      </c>
      <c r="C70" s="113">
        <f>IF(C65&lt;0,C65*IN!$C$54,0)</f>
        <v>-54726.119669842628</v>
      </c>
      <c r="D70" s="113">
        <f>IF(D65&lt;0,D65*IN!$C$54,0)</f>
        <v>0</v>
      </c>
      <c r="E70" s="113">
        <f>IF(E65&lt;0,E65*IN!$C$54,0)</f>
        <v>0</v>
      </c>
      <c r="F70" s="113">
        <f>IF(F65&lt;0,F65*IN!$C$54,0)</f>
        <v>0</v>
      </c>
      <c r="G70" s="113">
        <f>IF(G65&lt;0,G65*IN!$C$54,0)</f>
        <v>0</v>
      </c>
      <c r="H70" s="113">
        <f>IF(H65&lt;0,H65*IN!$C$54,0)</f>
        <v>0</v>
      </c>
      <c r="I70" s="113">
        <f>IF(I65&lt;0,I65*IN!$C$54,0)</f>
        <v>0</v>
      </c>
      <c r="J70" s="113">
        <f>IF(J65&lt;0,J65*IN!$C$54,0)</f>
        <v>0</v>
      </c>
      <c r="K70" s="113">
        <f>IF(K65&lt;0,K65*IN!$C$54,0)</f>
        <v>0</v>
      </c>
      <c r="L70" s="113">
        <f>IF(L65&lt;0,L65*IN!$C$54,0)</f>
        <v>0</v>
      </c>
      <c r="M70" s="113">
        <f>IF(M65&lt;0,M65*IN!$C$54,0)</f>
        <v>0</v>
      </c>
      <c r="N70" s="113">
        <f>IF(N65&lt;0,N65*IN!$C$54,0)</f>
        <v>0</v>
      </c>
      <c r="O70" s="113">
        <f>IF(O65&lt;0,O65*IN!$C$54,0)</f>
        <v>0</v>
      </c>
      <c r="P70" s="113">
        <f>IF(P65&lt;0,P65*IN!$C$54,0)</f>
        <v>0</v>
      </c>
      <c r="Q70" s="113">
        <f>IF(Q65&lt;0,Q65*IN!$C$54,0)</f>
        <v>0</v>
      </c>
      <c r="R70" s="113">
        <f>IF(R65&lt;0,R65*IN!$C$54,0)</f>
        <v>0</v>
      </c>
      <c r="S70" s="113">
        <f>IF(S65&lt;0,S65*IN!$C$54,0)</f>
        <v>0</v>
      </c>
      <c r="T70" s="113">
        <f>IF(T65&lt;0,T65*IN!$C$54,0)</f>
        <v>0</v>
      </c>
      <c r="U70" s="113">
        <f>IF(U65&lt;0,U65*IN!$C$54,0)</f>
        <v>0</v>
      </c>
      <c r="V70" s="113">
        <f>IF(V65&lt;0,V65*IN!$C$54,0)</f>
        <v>0</v>
      </c>
      <c r="W70" s="113">
        <f>IF(W65&lt;0,W65*IN!$C$54,0)</f>
        <v>0</v>
      </c>
      <c r="X70" s="113">
        <f>IF(X65&lt;0,X65*IN!$C$54,0)</f>
        <v>0</v>
      </c>
      <c r="Y70" s="113">
        <f>IF(Y65&lt;0,Y65*IN!$C$54,0)</f>
        <v>0</v>
      </c>
      <c r="Z70" s="113">
        <f>IF(Z65&lt;0,Z65*IN!$C$54,0)</f>
        <v>0</v>
      </c>
      <c r="AA70" s="113">
        <f>IF(AA65&lt;0,AA65*IN!$C$54,0)</f>
        <v>0</v>
      </c>
      <c r="AB70" s="113">
        <f>IF(AB65&lt;0,AB65*IN!$C$54,0)</f>
        <v>0</v>
      </c>
      <c r="AC70" s="113">
        <f>IF(AC65&lt;0,AC65*IN!$C$54,0)</f>
        <v>0</v>
      </c>
      <c r="AD70" s="113">
        <f>IF(AD65&lt;0,AD65*IN!$C$54,0)</f>
        <v>0</v>
      </c>
      <c r="AE70" s="113">
        <f>IF(AE65&lt;0,AE65*IN!$C$54,0)</f>
        <v>0</v>
      </c>
      <c r="AF70" s="113">
        <f>IF(AF65&lt;0,AF65*IN!$C$54,0)</f>
        <v>0</v>
      </c>
      <c r="AG70" s="113">
        <f>IF(AG65&lt;0,AG65*IN!$C$54,0)</f>
        <v>0</v>
      </c>
    </row>
    <row r="71" spans="2:33" hidden="1" outlineLevel="1" x14ac:dyDescent="0.25">
      <c r="B71" s="347" t="s">
        <v>248</v>
      </c>
      <c r="C71" s="113">
        <f>-C62*IN!$C$54</f>
        <v>-16752.650530391205</v>
      </c>
      <c r="D71" s="113">
        <f>-D62*IN!$C$54</f>
        <v>16752.650530391205</v>
      </c>
      <c r="E71" s="113">
        <f>-E62*IN!$C$54</f>
        <v>0</v>
      </c>
      <c r="F71" s="113">
        <f>-F62*IN!$C$54</f>
        <v>0</v>
      </c>
      <c r="G71" s="113">
        <f>-G62*IN!$C$54</f>
        <v>0</v>
      </c>
      <c r="H71" s="113">
        <f>-H62*IN!$C$54</f>
        <v>0</v>
      </c>
      <c r="I71" s="113">
        <f>-I62*IN!$C$54</f>
        <v>0</v>
      </c>
      <c r="J71" s="113">
        <f>-J62*IN!$C$54</f>
        <v>0</v>
      </c>
      <c r="K71" s="113">
        <f>-K62*IN!$C$54</f>
        <v>0</v>
      </c>
      <c r="L71" s="113">
        <f>-L62*IN!$C$54</f>
        <v>0</v>
      </c>
      <c r="M71" s="113">
        <f>-M62*IN!$C$54</f>
        <v>0</v>
      </c>
      <c r="N71" s="113">
        <f>-N62*IN!$C$54</f>
        <v>0</v>
      </c>
      <c r="O71" s="113">
        <f>-O62*IN!$C$54</f>
        <v>0</v>
      </c>
      <c r="P71" s="113">
        <f>-P62*IN!$C$54</f>
        <v>0</v>
      </c>
      <c r="Q71" s="113">
        <f>-Q62*IN!$C$54</f>
        <v>0</v>
      </c>
      <c r="R71" s="113">
        <f>-R62*IN!$C$54</f>
        <v>0</v>
      </c>
      <c r="S71" s="113">
        <f>-S62*IN!$C$54</f>
        <v>0</v>
      </c>
      <c r="T71" s="113">
        <f>-T62*IN!$C$54</f>
        <v>0</v>
      </c>
      <c r="U71" s="113">
        <f>-U62*IN!$C$54</f>
        <v>0</v>
      </c>
      <c r="V71" s="113">
        <f>-V62*IN!$C$54</f>
        <v>0</v>
      </c>
      <c r="W71" s="113">
        <f>-W62*IN!$C$54</f>
        <v>0</v>
      </c>
      <c r="X71" s="113">
        <f>-X62*IN!$C$54</f>
        <v>0</v>
      </c>
      <c r="Y71" s="113">
        <f>-Y62*IN!$C$54</f>
        <v>0</v>
      </c>
      <c r="Z71" s="113">
        <f>-Z62*IN!$C$54</f>
        <v>0</v>
      </c>
      <c r="AA71" s="113">
        <f>-AA62*IN!$C$54</f>
        <v>0</v>
      </c>
      <c r="AB71" s="113">
        <f>-AB62*IN!$C$54</f>
        <v>0</v>
      </c>
      <c r="AC71" s="113">
        <f>-AC62*IN!$C$54</f>
        <v>0</v>
      </c>
      <c r="AD71" s="113">
        <f>-AD62*IN!$C$54</f>
        <v>0</v>
      </c>
      <c r="AE71" s="113">
        <f>-AE62*IN!$C$54</f>
        <v>0</v>
      </c>
      <c r="AF71" s="113">
        <f>-AF62*IN!$C$54</f>
        <v>0</v>
      </c>
      <c r="AG71" s="113">
        <f>-AG62*IN!$C$54</f>
        <v>0</v>
      </c>
    </row>
    <row r="72" spans="2:33" hidden="1" outlineLevel="1" x14ac:dyDescent="0.25">
      <c r="B72" s="347" t="s">
        <v>249</v>
      </c>
      <c r="C72" s="113">
        <f>C67*IN!$C$54</f>
        <v>0</v>
      </c>
      <c r="D72" s="113">
        <f>D67*IN!$C$54</f>
        <v>19107.295136701523</v>
      </c>
      <c r="E72" s="113">
        <f>E67*IN!$C$54</f>
        <v>33178.994305337139</v>
      </c>
      <c r="F72" s="113">
        <f>F67*IN!$C$54</f>
        <v>2439.8302278039673</v>
      </c>
      <c r="G72" s="113">
        <f>G67*IN!$C$54</f>
        <v>0</v>
      </c>
      <c r="H72" s="113">
        <f>H67*IN!$C$54</f>
        <v>0</v>
      </c>
      <c r="I72" s="113">
        <f>I67*IN!$C$54</f>
        <v>0</v>
      </c>
      <c r="J72" s="113">
        <f>J67*IN!$C$54</f>
        <v>0</v>
      </c>
      <c r="K72" s="113">
        <f>K67*IN!$C$54</f>
        <v>0</v>
      </c>
      <c r="L72" s="113">
        <f>L67*IN!$C$54</f>
        <v>0</v>
      </c>
      <c r="M72" s="113">
        <f>M67*IN!$C$54</f>
        <v>0</v>
      </c>
      <c r="N72" s="113">
        <f>N67*IN!$C$54</f>
        <v>0</v>
      </c>
      <c r="O72" s="113">
        <f>O67*IN!$C$54</f>
        <v>0</v>
      </c>
      <c r="P72" s="113">
        <f>P67*IN!$C$54</f>
        <v>0</v>
      </c>
      <c r="Q72" s="113">
        <f>Q67*IN!$C$54</f>
        <v>0</v>
      </c>
      <c r="R72" s="113">
        <f>R67*IN!$C$54</f>
        <v>0</v>
      </c>
      <c r="S72" s="113">
        <f>S67*IN!$C$54</f>
        <v>0</v>
      </c>
      <c r="T72" s="113">
        <f>T67*IN!$C$54</f>
        <v>0</v>
      </c>
      <c r="U72" s="113">
        <f>U67*IN!$C$54</f>
        <v>0</v>
      </c>
      <c r="V72" s="113">
        <f>V67*IN!$C$54</f>
        <v>0</v>
      </c>
      <c r="W72" s="113">
        <f>W67*IN!$C$54</f>
        <v>0</v>
      </c>
      <c r="X72" s="113">
        <f>X67*IN!$C$54</f>
        <v>0</v>
      </c>
      <c r="Y72" s="113">
        <f>Y67*IN!$C$54</f>
        <v>0</v>
      </c>
      <c r="Z72" s="113">
        <f>Z67*IN!$C$54</f>
        <v>0</v>
      </c>
      <c r="AA72" s="113">
        <f>AA67*IN!$C$54</f>
        <v>0</v>
      </c>
      <c r="AB72" s="113">
        <f>AB67*IN!$C$54</f>
        <v>0</v>
      </c>
      <c r="AC72" s="113">
        <f>AC67*IN!$C$54</f>
        <v>0</v>
      </c>
      <c r="AD72" s="113">
        <f>AD67*IN!$C$54</f>
        <v>0</v>
      </c>
      <c r="AE72" s="113">
        <f>AE67*IN!$C$54</f>
        <v>0</v>
      </c>
      <c r="AF72" s="113">
        <f>AF67*IN!$C$54</f>
        <v>0</v>
      </c>
      <c r="AG72" s="113">
        <f>AG67*IN!$C$54</f>
        <v>0</v>
      </c>
    </row>
    <row r="73" spans="2:33" hidden="1" outlineLevel="1" x14ac:dyDescent="0.25">
      <c r="B73" s="347" t="s">
        <v>250</v>
      </c>
      <c r="C73" s="113">
        <f>IF(C65&gt;0,(C65-C67)*IN!$C$54,0)</f>
        <v>0</v>
      </c>
      <c r="D73" s="113">
        <f>IF(D65&gt;0,(D65-D67)*IN!$C$54,0)</f>
        <v>4776.8237841753808</v>
      </c>
      <c r="E73" s="113">
        <f>IF(E65&gt;0,(E65-E67)*IN!$C$54,0)</f>
        <v>8294.7485763342793</v>
      </c>
      <c r="F73" s="113">
        <f>IF(F65&gt;0,(F65-F67)*IN!$C$54,0)</f>
        <v>39889.458186981523</v>
      </c>
      <c r="G73" s="113">
        <f>IF(G65&gt;0,(G65-G67)*IN!$C$54,0)</f>
        <v>43203.876103608593</v>
      </c>
      <c r="H73" s="113">
        <f>IF(H65&gt;0,(H65-H67)*IN!$C$54,0)</f>
        <v>44097.988628248982</v>
      </c>
      <c r="I73" s="113">
        <f>IF(I65&gt;0,(I65-I67)*IN!$C$54,0)</f>
        <v>45012.121643221486</v>
      </c>
      <c r="J73" s="113">
        <f>IF(J65&gt;0,(J65-J67)*IN!$C$54,0)</f>
        <v>38746.784134382331</v>
      </c>
      <c r="K73" s="113">
        <f>IF(K65&gt;0,(K65-K67)*IN!$C$54,0)</f>
        <v>46902.498785767748</v>
      </c>
      <c r="L73" s="113">
        <f>IF(L65&gt;0,(L65-L67)*IN!$C$54,0)</f>
        <v>47879.802356615473</v>
      </c>
      <c r="M73" s="113">
        <f>IF(M65&gt;0,(M65-M67)*IN!$C$54,0)</f>
        <v>48879.246068849388</v>
      </c>
      <c r="N73" s="113">
        <f>IF(N65&gt;0,(N65-N67)*IN!$C$54,0)</f>
        <v>49901.396005321214</v>
      </c>
      <c r="O73" s="113">
        <f>IF(O65&gt;0,(O65-O67)*IN!$C$54,0)</f>
        <v>50946.83351910708</v>
      </c>
      <c r="P73" s="113">
        <f>IF(P65&gt;0,(P65-P67)*IN!$C$54,0)</f>
        <v>44816.155654167531</v>
      </c>
      <c r="Q73" s="113">
        <f>IF(Q65&gt;0,(Q65-Q67)*IN!$C$54,0)</f>
        <v>53109.975577687313</v>
      </c>
      <c r="R73" s="113">
        <f>IF(R65&gt;0,(R65-R67)*IN!$C$54,0)</f>
        <v>54228.92302442043</v>
      </c>
      <c r="S73" s="113">
        <f>IF(S65&gt;0,(S65-S67)*IN!$C$54,0)</f>
        <v>55373.644753373963</v>
      </c>
      <c r="T73" s="113">
        <f>IF(T65&gt;0,(T65-T67)*IN!$C$54,0)</f>
        <v>56544.805017175102</v>
      </c>
      <c r="U73" s="113">
        <f>IF(U65&gt;0,(U65-U67)*IN!$C$54,0)</f>
        <v>57743.086044474141</v>
      </c>
      <c r="V73" s="113">
        <f>IF(V65&gt;0,(V65-V67)*IN!$C$54,0)</f>
        <v>58969.188535746922</v>
      </c>
      <c r="W73" s="113">
        <f>IF(W65&gt;0,(W65-W67)*IN!$C$54,0)</f>
        <v>60322.824576881867</v>
      </c>
      <c r="X73" s="113">
        <f>IF(X65&gt;0,(X65-X67)*IN!$C$54,0)</f>
        <v>61612.234242100683</v>
      </c>
      <c r="Y73" s="113">
        <f>IF(Y65&gt;0,(Y65-Y67)*IN!$C$54,0)</f>
        <v>62931.738327545892</v>
      </c>
      <c r="Z73" s="113">
        <f>IF(Z65&gt;0,(Z65-Z67)*IN!$C$54,0)</f>
        <v>0</v>
      </c>
      <c r="AA73" s="113">
        <f>IF(AA65&gt;0,(AA65-AA67)*IN!$C$54,0)</f>
        <v>0</v>
      </c>
      <c r="AB73" s="113">
        <f>IF(AB65&gt;0,(AB65-AB67)*IN!$C$54,0)</f>
        <v>0</v>
      </c>
      <c r="AC73" s="113">
        <f>IF(AC65&gt;0,(AC65-AC67)*IN!$C$54,0)</f>
        <v>0</v>
      </c>
      <c r="AD73" s="113">
        <f>IF(AD65&gt;0,(AD65-AD67)*IN!$C$54,0)</f>
        <v>0</v>
      </c>
      <c r="AE73" s="113">
        <f>IF(AE65&gt;0,(AE65-AE67)*IN!$C$54,0)</f>
        <v>0</v>
      </c>
      <c r="AF73" s="113">
        <f>IF(AF65&gt;0,(AF65-AF67)*IN!$C$54,0)</f>
        <v>0</v>
      </c>
      <c r="AG73" s="113">
        <f>IF(AG65&gt;0,(AG65-AG67)*IN!$C$54,0)</f>
        <v>0</v>
      </c>
    </row>
    <row r="74" spans="2:33" hidden="1" outlineLevel="1" x14ac:dyDescent="0.2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</row>
    <row r="75" spans="2:33" hidden="1" outlineLevel="1" x14ac:dyDescent="0.25">
      <c r="B75" s="404" t="s">
        <v>251</v>
      </c>
      <c r="C75" s="113">
        <f>SUM(C70:C73)</f>
        <v>-71478.770200233834</v>
      </c>
      <c r="D75" s="113">
        <f>SUM(D70:D73)</f>
        <v>40636.769451268112</v>
      </c>
      <c r="E75" s="113">
        <f t="shared" ref="E75:AG75" si="47">SUM(E70:E73)</f>
        <v>41473.742881671416</v>
      </c>
      <c r="F75" s="113">
        <f t="shared" si="47"/>
        <v>42329.288414785493</v>
      </c>
      <c r="G75" s="113">
        <f t="shared" si="47"/>
        <v>43203.876103608593</v>
      </c>
      <c r="H75" s="113">
        <f t="shared" si="47"/>
        <v>44097.988628248982</v>
      </c>
      <c r="I75" s="113">
        <f t="shared" si="47"/>
        <v>45012.121643221486</v>
      </c>
      <c r="J75" s="113">
        <f t="shared" si="47"/>
        <v>38746.784134382331</v>
      </c>
      <c r="K75" s="113">
        <f t="shared" si="47"/>
        <v>46902.498785767748</v>
      </c>
      <c r="L75" s="113">
        <f t="shared" si="47"/>
        <v>47879.802356615473</v>
      </c>
      <c r="M75" s="113">
        <f t="shared" si="47"/>
        <v>48879.246068849388</v>
      </c>
      <c r="N75" s="113">
        <f t="shared" si="47"/>
        <v>49901.396005321214</v>
      </c>
      <c r="O75" s="113">
        <f t="shared" si="47"/>
        <v>50946.83351910708</v>
      </c>
      <c r="P75" s="113">
        <f t="shared" si="47"/>
        <v>44816.155654167531</v>
      </c>
      <c r="Q75" s="113">
        <f t="shared" si="47"/>
        <v>53109.975577687313</v>
      </c>
      <c r="R75" s="113">
        <f t="shared" si="47"/>
        <v>54228.92302442043</v>
      </c>
      <c r="S75" s="113">
        <f t="shared" si="47"/>
        <v>55373.644753373963</v>
      </c>
      <c r="T75" s="113">
        <f t="shared" si="47"/>
        <v>56544.805017175102</v>
      </c>
      <c r="U75" s="113">
        <f t="shared" si="47"/>
        <v>57743.086044474141</v>
      </c>
      <c r="V75" s="113">
        <f t="shared" si="47"/>
        <v>58969.188535746922</v>
      </c>
      <c r="W75" s="113">
        <f t="shared" si="47"/>
        <v>60322.824576881867</v>
      </c>
      <c r="X75" s="113">
        <f t="shared" si="47"/>
        <v>61612.234242100683</v>
      </c>
      <c r="Y75" s="113">
        <f t="shared" si="47"/>
        <v>62931.738327545892</v>
      </c>
      <c r="Z75" s="113">
        <f t="shared" si="47"/>
        <v>0</v>
      </c>
      <c r="AA75" s="113">
        <f t="shared" si="47"/>
        <v>0</v>
      </c>
      <c r="AB75" s="113">
        <f t="shared" si="47"/>
        <v>0</v>
      </c>
      <c r="AC75" s="113">
        <f t="shared" si="47"/>
        <v>0</v>
      </c>
      <c r="AD75" s="113">
        <f t="shared" si="47"/>
        <v>0</v>
      </c>
      <c r="AE75" s="113">
        <f t="shared" si="47"/>
        <v>0</v>
      </c>
      <c r="AF75" s="113">
        <f t="shared" si="47"/>
        <v>0</v>
      </c>
      <c r="AG75" s="113">
        <f t="shared" si="47"/>
        <v>0</v>
      </c>
    </row>
    <row r="76" spans="2:33" hidden="1" outlineLevel="1" x14ac:dyDescent="0.25">
      <c r="B76" s="404" t="s">
        <v>65</v>
      </c>
      <c r="C76" s="113">
        <f>IF((C40+C32)&gt;0,(C40+C32)*IN!$C$55,0)</f>
        <v>0</v>
      </c>
      <c r="D76" s="113">
        <f>IF((D40+D32)&gt;0,(D40+D32)*IN!$C$55,0)</f>
        <v>10153.64863404571</v>
      </c>
      <c r="E76" s="113">
        <f>IF((E40+E32)&gt;0,(E40+E32)*IN!$C$55,0)</f>
        <v>10201.558505947802</v>
      </c>
      <c r="F76" s="113">
        <f>IF((F40+F32)&gt;0,(F40+F32)*IN!$C$55,0)</f>
        <v>10249.954434643081</v>
      </c>
      <c r="G76" s="113">
        <f>IF((G40+G32)&gt;0,(G40+G32)*IN!$C$55,0)</f>
        <v>10298.841419860964</v>
      </c>
      <c r="H76" s="113">
        <f>IF((H40+H32)&gt;0,(H40+H32)*IN!$C$55,0)</f>
        <v>10348.224514111405</v>
      </c>
      <c r="I76" s="113">
        <f>IF((I40+I32)&gt;0,(I40+I32)*IN!$C$55,0)</f>
        <v>10398.108823268305</v>
      </c>
      <c r="J76" s="113">
        <f>IF((J40+J32)&gt;0,(J40+J32)*IN!$C$55,0)</f>
        <v>9188.4995071600533</v>
      </c>
      <c r="K76" s="113">
        <f>IF((K40+K32)&gt;0,(K40+K32)*IN!$C$55,0)</f>
        <v>10499.401780166818</v>
      </c>
      <c r="L76" s="113">
        <f>IF((L40+L32)&gt;0,(L40+L32)*IN!$C$55,0)</f>
        <v>10550.820911825305</v>
      </c>
      <c r="M76" s="113">
        <f>IF((M40+M32)&gt;0,(M40+M32)*IN!$C$55,0)</f>
        <v>10602.762227440442</v>
      </c>
      <c r="N76" s="113">
        <f>IF((N40+N32)&gt;0,(N40+N32)*IN!$C$55,0)</f>
        <v>10655.231108704606</v>
      </c>
      <c r="O76" s="113">
        <f>IF((O40+O32)&gt;0,(O40+O32)*IN!$C$55,0)</f>
        <v>10708.232994324153</v>
      </c>
      <c r="P76" s="113">
        <f>IF((P40+P32)&gt;0,(P40+P32)*IN!$C$55,0)</f>
        <v>9501.773380653487</v>
      </c>
      <c r="Q76" s="113">
        <f>IF((Q40+Q32)&gt;0,(Q40+Q32)*IN!$C$55,0)</f>
        <v>10815.857822336764</v>
      </c>
      <c r="R76" s="113">
        <f>IF((R40+R32)&gt;0,(R40+R32)*IN!$C$55,0)</f>
        <v>10870.491932957342</v>
      </c>
      <c r="S76" s="113">
        <f>IF((S40+S32)&gt;0,(S40+S32)*IN!$C$55,0)</f>
        <v>10925.681385695018</v>
      </c>
      <c r="T76" s="113">
        <f>IF((T40+T32)&gt;0,(T40+T32)*IN!$C$55,0)</f>
        <v>10981.431913991175</v>
      </c>
      <c r="U76" s="113">
        <f>IF((U40+U32)&gt;0,(U40+U32)*IN!$C$55,0)</f>
        <v>11037.749312222013</v>
      </c>
      <c r="V76" s="113">
        <f>IF((V40+V32)&gt;0,(V40+V32)*IN!$C$55,0)</f>
        <v>11094.639436379914</v>
      </c>
      <c r="W76" s="113">
        <f>IF((W40+W32)&gt;0,(W40+W32)*IN!$C$55,0)</f>
        <v>11152.108204763041</v>
      </c>
      <c r="X76" s="113">
        <f>IF((X40+X32)&gt;0,(X40+X32)*IN!$C$55,0)</f>
        <v>11210.161598673332</v>
      </c>
      <c r="Y76" s="113">
        <f>IF((Y40+Y32)&gt;0,(Y40+Y32)*IN!$C$55,0)</f>
        <v>11268.80566312291</v>
      </c>
      <c r="Z76" s="113">
        <f>IF((Z40+Z32)&gt;0,(Z40+Z32)*IN!$C$55,0)</f>
        <v>0</v>
      </c>
      <c r="AA76" s="113">
        <f>IF((AA40+AA32)&gt;0,(AA40+AA32)*IN!$C$55,0)</f>
        <v>0</v>
      </c>
      <c r="AB76" s="113">
        <f>IF((AB40+AB32)&gt;0,(AB40+AB32)*IN!$C$55,0)</f>
        <v>0</v>
      </c>
      <c r="AC76" s="113">
        <f>IF((AC40+AC32)&gt;0,(AC40+AC32)*IN!$C$55,0)</f>
        <v>0</v>
      </c>
      <c r="AD76" s="113">
        <f>IF((AD40+AD32)&gt;0,(AD40+AD32)*IN!$C$55,0)</f>
        <v>0</v>
      </c>
      <c r="AE76" s="113">
        <f>IF((AE40+AE32)&gt;0,(AE40+AE32)*IN!$C$55,0)</f>
        <v>0</v>
      </c>
      <c r="AF76" s="113">
        <f>IF((AF40+AF32)&gt;0,(AF40+AF32)*IN!$C$55,0)</f>
        <v>0</v>
      </c>
      <c r="AG76" s="113">
        <f>IF((AG40+AG32)&gt;0,(AG40+AG32)*IN!$C$55,0)</f>
        <v>0</v>
      </c>
    </row>
    <row r="77" spans="2:33" collapsed="1" x14ac:dyDescent="0.25">
      <c r="B77" s="344"/>
      <c r="C77" s="346"/>
      <c r="D77" s="346"/>
      <c r="E77" s="346"/>
      <c r="F77" s="346"/>
      <c r="G77" s="346"/>
      <c r="H77" s="346"/>
      <c r="I77" s="346"/>
      <c r="J77" s="346"/>
      <c r="K77" s="346"/>
      <c r="L77" s="346"/>
      <c r="M77" s="346"/>
      <c r="N77" s="346"/>
      <c r="O77" s="346"/>
      <c r="P77" s="346"/>
      <c r="Q77" s="346"/>
      <c r="R77" s="346"/>
      <c r="S77" s="346"/>
      <c r="T77" s="346"/>
      <c r="U77" s="346"/>
      <c r="V77" s="346"/>
      <c r="W77" s="346"/>
      <c r="X77" s="346"/>
      <c r="Y77" s="346"/>
      <c r="Z77" s="346"/>
      <c r="AA77" s="346"/>
      <c r="AB77" s="346"/>
      <c r="AC77" s="346"/>
      <c r="AD77" s="346"/>
      <c r="AE77" s="346"/>
      <c r="AF77" s="346"/>
      <c r="AG77" s="197"/>
    </row>
    <row r="78" spans="2:33" x14ac:dyDescent="0.25">
      <c r="B78" s="344"/>
      <c r="C78" s="346"/>
      <c r="D78" s="346"/>
      <c r="E78" s="346"/>
      <c r="F78" s="346"/>
      <c r="G78" s="346"/>
      <c r="H78" s="346"/>
      <c r="I78" s="346"/>
      <c r="J78" s="346"/>
      <c r="K78" s="346"/>
      <c r="L78" s="346"/>
      <c r="M78" s="346"/>
      <c r="N78" s="346"/>
      <c r="O78" s="346"/>
      <c r="P78" s="346"/>
      <c r="Q78" s="346"/>
      <c r="R78" s="346"/>
      <c r="T78" s="346"/>
      <c r="U78" s="346"/>
      <c r="V78" s="346"/>
      <c r="W78" s="346"/>
      <c r="X78" s="346"/>
      <c r="Y78" s="346"/>
      <c r="Z78" s="346"/>
      <c r="AA78" s="346"/>
      <c r="AB78" s="346"/>
      <c r="AC78" s="346"/>
      <c r="AD78" s="346"/>
      <c r="AE78" s="346"/>
      <c r="AF78" s="346"/>
      <c r="AG78" s="197"/>
    </row>
    <row r="79" spans="2:33" x14ac:dyDescent="0.25">
      <c r="B79" s="345"/>
      <c r="C79" s="353"/>
      <c r="D79" s="346"/>
      <c r="E79" s="345"/>
      <c r="F79" s="345"/>
      <c r="G79" s="345"/>
      <c r="H79" s="345"/>
      <c r="I79" s="345"/>
      <c r="J79" s="345"/>
      <c r="K79" s="345"/>
      <c r="L79" s="345"/>
      <c r="M79" s="345"/>
      <c r="N79" s="345"/>
      <c r="O79" s="345"/>
      <c r="P79" s="345"/>
      <c r="Q79" s="345"/>
      <c r="R79" s="345"/>
      <c r="S79" s="345"/>
      <c r="T79" s="345"/>
      <c r="U79" s="345"/>
      <c r="V79" s="345"/>
      <c r="W79" s="345"/>
      <c r="X79" s="345"/>
      <c r="Y79" s="198"/>
      <c r="Z79" s="198"/>
      <c r="AA79" s="198"/>
      <c r="AB79" s="198"/>
      <c r="AC79" s="198"/>
      <c r="AD79" s="198"/>
      <c r="AE79" s="198"/>
      <c r="AF79" s="198"/>
      <c r="AG79" s="198"/>
    </row>
    <row r="80" spans="2:33" ht="23.25" x14ac:dyDescent="0.35">
      <c r="B80" s="175" t="s">
        <v>67</v>
      </c>
      <c r="C80" s="175"/>
      <c r="D80" s="123"/>
      <c r="E80" s="123"/>
      <c r="F80" s="123"/>
      <c r="G80" s="123"/>
      <c r="H80" s="137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</row>
    <row r="81" spans="2:33" x14ac:dyDescent="0.25">
      <c r="B81" s="334" t="s">
        <v>206</v>
      </c>
      <c r="C81" s="124"/>
      <c r="D81" s="124"/>
      <c r="E81" s="124"/>
      <c r="F81" s="124"/>
      <c r="G81" s="124"/>
      <c r="H81" s="124"/>
      <c r="I81" s="124"/>
      <c r="J81" s="124"/>
      <c r="K81" s="124"/>
      <c r="L81" s="124"/>
      <c r="M81" s="124"/>
      <c r="N81" s="124"/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  <c r="Z81" s="124"/>
      <c r="AA81" s="124"/>
      <c r="AB81" s="124"/>
      <c r="AC81" s="124"/>
      <c r="AD81" s="124"/>
      <c r="AE81" s="124"/>
      <c r="AF81" s="124"/>
      <c r="AG81" s="124"/>
    </row>
    <row r="82" spans="2:33" x14ac:dyDescent="0.25">
      <c r="B82" s="801" t="s">
        <v>143</v>
      </c>
      <c r="C82" s="467" t="s">
        <v>329</v>
      </c>
      <c r="D82" s="467" t="s">
        <v>330</v>
      </c>
      <c r="E82" s="467" t="s">
        <v>331</v>
      </c>
      <c r="F82" s="467" t="s">
        <v>332</v>
      </c>
      <c r="G82" s="467" t="s">
        <v>333</v>
      </c>
      <c r="H82" s="467" t="s">
        <v>334</v>
      </c>
      <c r="I82" s="467" t="s">
        <v>335</v>
      </c>
      <c r="J82" s="467" t="s">
        <v>336</v>
      </c>
      <c r="K82" s="467" t="s">
        <v>337</v>
      </c>
      <c r="L82" s="467" t="s">
        <v>338</v>
      </c>
      <c r="M82" s="467" t="s">
        <v>339</v>
      </c>
      <c r="N82" s="467" t="s">
        <v>340</v>
      </c>
      <c r="O82" s="467" t="s">
        <v>341</v>
      </c>
      <c r="P82" s="467" t="s">
        <v>342</v>
      </c>
      <c r="Q82" s="467" t="s">
        <v>343</v>
      </c>
      <c r="R82" s="467" t="s">
        <v>344</v>
      </c>
      <c r="S82" s="467" t="s">
        <v>345</v>
      </c>
      <c r="T82" s="467" t="s">
        <v>346</v>
      </c>
      <c r="U82" s="467" t="s">
        <v>347</v>
      </c>
      <c r="V82" s="467" t="s">
        <v>348</v>
      </c>
      <c r="W82" s="467" t="s">
        <v>349</v>
      </c>
      <c r="X82" s="467" t="s">
        <v>350</v>
      </c>
      <c r="Y82" s="467" t="s">
        <v>351</v>
      </c>
      <c r="Z82" s="467" t="s">
        <v>564</v>
      </c>
      <c r="AA82" s="178" t="e">
        <f t="shared" ref="E82:AG82" si="48">Z82+1</f>
        <v>#VALUE!</v>
      </c>
      <c r="AB82" s="178" t="e">
        <f t="shared" si="48"/>
        <v>#VALUE!</v>
      </c>
      <c r="AC82" s="178" t="e">
        <f t="shared" si="48"/>
        <v>#VALUE!</v>
      </c>
      <c r="AD82" s="178" t="e">
        <f t="shared" si="48"/>
        <v>#VALUE!</v>
      </c>
      <c r="AE82" s="178" t="e">
        <f t="shared" si="48"/>
        <v>#VALUE!</v>
      </c>
      <c r="AF82" s="178" t="e">
        <f t="shared" si="48"/>
        <v>#VALUE!</v>
      </c>
      <c r="AG82" s="178" t="e">
        <f t="shared" si="48"/>
        <v>#VALUE!</v>
      </c>
    </row>
    <row r="83" spans="2:33" x14ac:dyDescent="0.25">
      <c r="B83" s="802"/>
      <c r="C83" s="179">
        <f t="shared" ref="C83:AG83" si="49">C5</f>
        <v>1</v>
      </c>
      <c r="D83" s="178">
        <f t="shared" si="49"/>
        <v>2</v>
      </c>
      <c r="E83" s="178">
        <f t="shared" si="49"/>
        <v>3</v>
      </c>
      <c r="F83" s="178">
        <f t="shared" si="49"/>
        <v>4</v>
      </c>
      <c r="G83" s="178">
        <f t="shared" si="49"/>
        <v>5</v>
      </c>
      <c r="H83" s="178">
        <f t="shared" si="49"/>
        <v>6</v>
      </c>
      <c r="I83" s="178">
        <f t="shared" si="49"/>
        <v>7</v>
      </c>
      <c r="J83" s="178">
        <f t="shared" si="49"/>
        <v>8</v>
      </c>
      <c r="K83" s="178">
        <f t="shared" si="49"/>
        <v>9</v>
      </c>
      <c r="L83" s="178">
        <f t="shared" si="49"/>
        <v>10</v>
      </c>
      <c r="M83" s="178">
        <f t="shared" si="49"/>
        <v>11</v>
      </c>
      <c r="N83" s="178">
        <f t="shared" si="49"/>
        <v>12</v>
      </c>
      <c r="O83" s="178">
        <f t="shared" si="49"/>
        <v>13</v>
      </c>
      <c r="P83" s="178">
        <f t="shared" si="49"/>
        <v>14</v>
      </c>
      <c r="Q83" s="178">
        <f t="shared" si="49"/>
        <v>15</v>
      </c>
      <c r="R83" s="178">
        <f t="shared" si="49"/>
        <v>16</v>
      </c>
      <c r="S83" s="178">
        <f t="shared" si="49"/>
        <v>17</v>
      </c>
      <c r="T83" s="178">
        <f t="shared" si="49"/>
        <v>18</v>
      </c>
      <c r="U83" s="178">
        <f t="shared" si="49"/>
        <v>19</v>
      </c>
      <c r="V83" s="178">
        <f t="shared" si="49"/>
        <v>20</v>
      </c>
      <c r="W83" s="178">
        <f t="shared" si="49"/>
        <v>21</v>
      </c>
      <c r="X83" s="178">
        <f t="shared" si="49"/>
        <v>22</v>
      </c>
      <c r="Y83" s="178">
        <f t="shared" si="49"/>
        <v>23</v>
      </c>
      <c r="Z83" s="178">
        <f t="shared" si="49"/>
        <v>24</v>
      </c>
      <c r="AA83" s="178">
        <f t="shared" si="49"/>
        <v>25</v>
      </c>
      <c r="AB83" s="178">
        <f t="shared" si="49"/>
        <v>26</v>
      </c>
      <c r="AC83" s="178">
        <f t="shared" si="49"/>
        <v>27</v>
      </c>
      <c r="AD83" s="178">
        <f t="shared" si="49"/>
        <v>28</v>
      </c>
      <c r="AE83" s="178">
        <f t="shared" si="49"/>
        <v>29</v>
      </c>
      <c r="AF83" s="178">
        <f t="shared" si="49"/>
        <v>30</v>
      </c>
      <c r="AG83" s="178">
        <f t="shared" si="49"/>
        <v>31</v>
      </c>
    </row>
    <row r="84" spans="2:33" x14ac:dyDescent="0.25">
      <c r="B84" s="199" t="s">
        <v>252</v>
      </c>
      <c r="C84" s="432">
        <f>+C85+C86-C87</f>
        <v>-1082105.6532835755</v>
      </c>
      <c r="D84" s="432">
        <f t="shared" ref="D84:AD84" si="50">+D85+D86-D87</f>
        <v>95635.949243070994</v>
      </c>
      <c r="E84" s="432">
        <f>+E85+E86-E87</f>
        <v>95864.716537476314</v>
      </c>
      <c r="F84" s="432">
        <f t="shared" si="50"/>
        <v>96095.80472928939</v>
      </c>
      <c r="G84" s="432">
        <f t="shared" si="50"/>
        <v>96329.237691973613</v>
      </c>
      <c r="H84" s="432">
        <f t="shared" si="50"/>
        <v>96565.039551016787</v>
      </c>
      <c r="I84" s="432">
        <f t="shared" si="50"/>
        <v>96803.234686717042</v>
      </c>
      <c r="J84" s="432">
        <f t="shared" si="50"/>
        <v>91027.409380838129</v>
      </c>
      <c r="K84" s="432">
        <f t="shared" si="50"/>
        <v>97286.90360028336</v>
      </c>
      <c r="L84" s="432">
        <f t="shared" si="50"/>
        <v>97532.427438339524</v>
      </c>
      <c r="M84" s="432">
        <f t="shared" si="50"/>
        <v>97780.444679241569</v>
      </c>
      <c r="N84" s="432">
        <f t="shared" si="50"/>
        <v>98030.981020307227</v>
      </c>
      <c r="O84" s="432">
        <f t="shared" si="50"/>
        <v>98284.06243109332</v>
      </c>
      <c r="P84" s="432">
        <f t="shared" si="50"/>
        <v>92523.276800258813</v>
      </c>
      <c r="Q84" s="432">
        <f t="shared" si="50"/>
        <v>98797.965719450978</v>
      </c>
      <c r="R84" s="432">
        <f t="shared" si="50"/>
        <v>99058.840924762568</v>
      </c>
      <c r="S84" s="432">
        <f t="shared" si="50"/>
        <v>99322.367861513892</v>
      </c>
      <c r="T84" s="432">
        <f t="shared" si="50"/>
        <v>99588.573906607067</v>
      </c>
      <c r="U84" s="432">
        <f t="shared" si="50"/>
        <v>99857.486727905023</v>
      </c>
      <c r="V84" s="432">
        <f t="shared" si="50"/>
        <v>100129.13428748482</v>
      </c>
      <c r="W84" s="432">
        <f t="shared" si="50"/>
        <v>100403.54484493069</v>
      </c>
      <c r="X84" s="432">
        <f t="shared" si="50"/>
        <v>100680.7469606667</v>
      </c>
      <c r="Y84" s="432">
        <f t="shared" si="50"/>
        <v>100960.76949933005</v>
      </c>
      <c r="Z84" s="200">
        <f t="shared" si="50"/>
        <v>0</v>
      </c>
      <c r="AA84" s="200">
        <f t="shared" si="50"/>
        <v>0</v>
      </c>
      <c r="AB84" s="200">
        <f t="shared" si="50"/>
        <v>0</v>
      </c>
      <c r="AC84" s="200">
        <f t="shared" si="50"/>
        <v>0</v>
      </c>
      <c r="AD84" s="200">
        <f t="shared" si="50"/>
        <v>0</v>
      </c>
      <c r="AE84" s="200">
        <f>+AE85+AE86-AE87</f>
        <v>0</v>
      </c>
      <c r="AF84" s="200">
        <f>+AF85+AF86-AF87</f>
        <v>0</v>
      </c>
      <c r="AG84" s="200"/>
    </row>
    <row r="85" spans="2:33" x14ac:dyDescent="0.25">
      <c r="B85" s="201" t="s">
        <v>253</v>
      </c>
      <c r="C85" s="202">
        <f>IF(C5&lt;=IN!$C$47,(C15)*(1+IN!$C$53)*IN!$C$61+Investimenti!G10*(1+IN!$C$53)*IN!$C$61,0)</f>
        <v>171277.59134571691</v>
      </c>
      <c r="D85" s="202">
        <f>IF(D5&lt;=IN!$C$47,(D15)*(1+IN!$C$53)*IN!$C$61+Investimenti!H10*(1+IN!$C$53)*IN!$C$61,0)</f>
        <v>172629.18877952031</v>
      </c>
      <c r="E85" s="202">
        <f>IF(E5&lt;=IN!$C$47,(E15)*(1+IN!$C$53)*IN!$C$61+Investimenti!I10*(1+IN!$C$53)*IN!$C$61,0)</f>
        <v>174001.66368649295</v>
      </c>
      <c r="F85" s="202">
        <f>IF(F5&lt;=IN!$C$47,(F15)*(1+IN!$C$53)*IN!$C$61+Investimenti!J10*(1+IN!$C$53)*IN!$C$61,0)</f>
        <v>175395.3720713431</v>
      </c>
      <c r="G85" s="202">
        <f>IF(G5&lt;=IN!$C$47,(G15)*(1+IN!$C$53)*IN!$C$61+Investimenti!K10*(1+IN!$C$53)*IN!$C$61,0)</f>
        <v>176810.67644342573</v>
      </c>
      <c r="H85" s="202">
        <f>IF(H5&lt;=IN!$C$47,(H15)*(1+IN!$C$53)*IN!$C$61+Investimenti!L10*(1+IN!$C$53)*IN!$C$61,0)</f>
        <v>178247.94594068083</v>
      </c>
      <c r="I85" s="202">
        <f>IF(I5&lt;=IN!$C$47,(I15)*(1+IN!$C$53)*IN!$C$61+Investimenti!M10*(1+IN!$C$53)*IN!$C$61,0)</f>
        <v>179707.55645598908</v>
      </c>
      <c r="J85" s="202">
        <f>IF(J5&lt;=IN!$C$47,(J15)*(1+IN!$C$53)*IN!$C$61+Investimenti!N10*(1+IN!$C$53)*IN!$C$61,0)</f>
        <v>181189.89076599281</v>
      </c>
      <c r="K85" s="202">
        <f>IF(K5&lt;=IN!$C$47,(K15)*(1+IN!$C$53)*IN!$C$61+Investimenti!O10*(1+IN!$C$53)*IN!$C$61,0)</f>
        <v>182695.33866242965</v>
      </c>
      <c r="L85" s="202">
        <f>IF(L5&lt;=IN!$C$47,(L15)*(1+IN!$C$53)*IN!$C$61+Investimenti!P10*(1+IN!$C$53)*IN!$C$61,0)</f>
        <v>184224.29708603068</v>
      </c>
      <c r="M85" s="202">
        <f>IF(M5&lt;=IN!$C$47,(M15)*(1+IN!$C$53)*IN!$C$61+Investimenti!Q10*(1+IN!$C$53)*IN!$C$61,0)</f>
        <v>185777.17026303153</v>
      </c>
      <c r="N85" s="202">
        <f>IF(N5&lt;=IN!$C$47,(N15)*(1+IN!$C$53)*IN!$C$61+Investimenti!R10*(1+IN!$C$53)*IN!$C$61,0)</f>
        <v>187354.36984434942</v>
      </c>
      <c r="O85" s="202">
        <f>IF(O5&lt;=IN!$C$47,(O15)*(1+IN!$C$53)*IN!$C$61+Investimenti!S10*(1+IN!$C$53)*IN!$C$61,0)</f>
        <v>188956.31504747854</v>
      </c>
      <c r="P85" s="202">
        <f>IF(P5&lt;=IN!$C$47,(P15)*(1+IN!$C$53)*IN!$C$61+Investimenti!T10*(1+IN!$C$53)*IN!$C$61,0)</f>
        <v>190583.43280115689</v>
      </c>
      <c r="Q85" s="202">
        <f>IF(Q5&lt;=IN!$C$47,(Q15)*(1+IN!$C$53)*IN!$C$61+Investimenti!U10*(1+IN!$C$53)*IN!$C$61,0)</f>
        <v>192236.15789286036</v>
      </c>
      <c r="R85" s="202">
        <f>IF(R5&lt;=IN!$C$47,(R15)*(1+IN!$C$53)*IN!$C$61+Investimenti!V10*(1+IN!$C$53)*IN!$C$61,0)</f>
        <v>193914.93311917898</v>
      </c>
      <c r="S85" s="202">
        <f>IF(S5&lt;=IN!$C$47,(S15)*(1+IN!$C$53)*IN!$C$61+Investimenti!W10*(1+IN!$C$53)*IN!$C$61,0)</f>
        <v>195620.20943913286</v>
      </c>
      <c r="T85" s="202">
        <f>IF(T5&lt;=IN!$C$47,(T15)*(1+IN!$C$53)*IN!$C$61+Investimenti!X10*(1+IN!$C$53)*IN!$C$61,0)</f>
        <v>197352.44613048574</v>
      </c>
      <c r="U85" s="202">
        <f>IF(U5&lt;=IN!$C$47,(U15)*(1+IN!$C$53)*IN!$C$61+Investimenti!Y10*(1+IN!$C$53)*IN!$C$61,0)</f>
        <v>199112.11094911571</v>
      </c>
      <c r="V85" s="202">
        <f>IF(V5&lt;=IN!$C$47,(V15)*(1+IN!$C$53)*IN!$C$61+Investimenti!Z10*(1+IN!$C$53)*IN!$C$61,0)</f>
        <v>200899.68029150268</v>
      </c>
      <c r="W85" s="202">
        <f>IF(W5&lt;=IN!$C$47,(W15)*(1+IN!$C$53)*IN!$C$61+Investimenti!AA10*(1+IN!$C$53)*IN!$C$61,0)</f>
        <v>202715.6393603957</v>
      </c>
      <c r="X85" s="202">
        <f>IF(X5&lt;=IN!$C$47,(X15)*(1+IN!$C$53)*IN!$C$61+Investimenti!AB10*(1+IN!$C$53)*IN!$C$61,0)</f>
        <v>204560.48233372148</v>
      </c>
      <c r="Y85" s="202">
        <f>IF(Y5&lt;=IN!$C$47,(Y15)*(1+IN!$C$53)*IN!$C$61+Investimenti!AC10*(1+IN!$C$53)*IN!$C$61,0)</f>
        <v>206434.7125367992</v>
      </c>
      <c r="Z85" s="202">
        <f>IF(Z5&lt;=IN!$C$47,(Z15)*(1+IN!$C$53)*IN!$C$61+Investimenti!AD10*(1+IN!$C$53)*IN!$C$61,0)</f>
        <v>0</v>
      </c>
      <c r="AA85" s="202">
        <f>IF(AA5&lt;=IN!$C$47,(AA15)*(1+IN!$C$53)*IN!$C$61+Investimenti!AE10*(1+IN!$C$53)*IN!$C$61,0)</f>
        <v>0</v>
      </c>
      <c r="AB85" s="202">
        <f>IF(AB5&lt;=IN!$C$47,(AB15)*(1+IN!$C$53)*IN!$C$61+Investimenti!AF10*(1+IN!$C$53)*IN!$C$61,0)</f>
        <v>0</v>
      </c>
      <c r="AC85" s="202">
        <f>IF(AC5&lt;=IN!$C$47,(AC15)*(1+IN!$C$53)*IN!$C$61+Investimenti!AG10*(1+IN!$C$53)*IN!$C$61,0)</f>
        <v>0</v>
      </c>
      <c r="AD85" s="202">
        <f>IF(AD5&lt;=IN!$C$47,(AD15)*(1+IN!$C$53)*IN!$C$61+Investimenti!AH10*(1+IN!$C$53)*IN!$C$61,0)</f>
        <v>0</v>
      </c>
      <c r="AE85" s="202">
        <f>IF(AE5&lt;=IN!$C$47,(AE15)*(1+IN!$C$53)*IN!$C$61+Investimenti!AI10*(1+IN!$C$53)*IN!$C$61,0)</f>
        <v>0</v>
      </c>
      <c r="AF85" s="202">
        <f>IF(AF5&lt;=IN!$C$47,(AF15)*(1+IN!$C$53)*IN!$C$61+Investimenti!AJ10*(1+IN!$C$53)*IN!$C$61,0)</f>
        <v>0</v>
      </c>
      <c r="AG85" s="202"/>
    </row>
    <row r="86" spans="2:33" x14ac:dyDescent="0.25">
      <c r="B86" s="203" t="s">
        <v>254</v>
      </c>
      <c r="C86" s="202">
        <v>0</v>
      </c>
      <c r="D86" s="202">
        <v>0</v>
      </c>
      <c r="E86" s="202">
        <v>0</v>
      </c>
      <c r="F86" s="202">
        <v>0</v>
      </c>
      <c r="G86" s="202">
        <v>0</v>
      </c>
      <c r="H86" s="202">
        <v>0</v>
      </c>
      <c r="I86" s="202">
        <v>0</v>
      </c>
      <c r="J86" s="202">
        <v>0</v>
      </c>
      <c r="K86" s="202">
        <v>0</v>
      </c>
      <c r="L86" s="202">
        <v>0</v>
      </c>
      <c r="M86" s="202">
        <v>0</v>
      </c>
      <c r="N86" s="202">
        <v>0</v>
      </c>
      <c r="O86" s="202">
        <v>0</v>
      </c>
      <c r="P86" s="202">
        <v>0</v>
      </c>
      <c r="Q86" s="202">
        <v>0</v>
      </c>
      <c r="R86" s="202">
        <v>0</v>
      </c>
      <c r="S86" s="202">
        <v>0</v>
      </c>
      <c r="T86" s="202">
        <v>0</v>
      </c>
      <c r="U86" s="202">
        <v>0</v>
      </c>
      <c r="V86" s="202">
        <v>0</v>
      </c>
      <c r="W86" s="202">
        <v>0</v>
      </c>
      <c r="X86" s="202">
        <v>0</v>
      </c>
      <c r="Y86" s="202">
        <v>0</v>
      </c>
      <c r="Z86" s="202">
        <v>0</v>
      </c>
      <c r="AA86" s="202">
        <v>0</v>
      </c>
      <c r="AB86" s="202">
        <v>0</v>
      </c>
      <c r="AC86" s="202">
        <v>0</v>
      </c>
      <c r="AD86" s="202">
        <v>0</v>
      </c>
      <c r="AE86" s="202">
        <v>0</v>
      </c>
      <c r="AF86" s="202">
        <v>0</v>
      </c>
      <c r="AG86" s="202"/>
    </row>
    <row r="87" spans="2:33" x14ac:dyDescent="0.25">
      <c r="B87" s="204" t="s">
        <v>255</v>
      </c>
      <c r="C87" s="205">
        <f>IF(C5&lt;=IN!$C$47,(SUM(C16:C28,C35)*IN!$C$62*(1+IN!$C$53)+(Investimenti!G9-Investimenti!G20-Investimenti!G24-Investimenti!G28-Investimenti!G32)*IN!$C$62*(1+IN!$C$53)),0)</f>
        <v>1253383.2446292925</v>
      </c>
      <c r="D87" s="205">
        <f>IF(D5&lt;=IN!$C$47,(SUM(D16:D28,D35)*IN!$C$62*(1+IN!$C$53)+(Investimenti!H9-Investimenti!H20-Investimenti!H24-Investimenti!H28-Investimenti!H32)*IN!$C$62*(1+IN!$C$53)),0)</f>
        <v>76993.239536449313</v>
      </c>
      <c r="E87" s="205">
        <f>IF(E5&lt;=IN!$C$47,(SUM(E16:E28,E35)*IN!$C$62*(1+IN!$C$53)+(Investimenti!I9-Investimenti!I20-Investimenti!I24-Investimenti!I28-Investimenti!I32)*IN!$C$62*(1+IN!$C$53)),0)</f>
        <v>78136.947149016632</v>
      </c>
      <c r="F87" s="205">
        <f>IF(F5&lt;=IN!$C$47,(SUM(F16:F28,F35)*IN!$C$62*(1+IN!$C$53)+(Investimenti!J9-Investimenti!J20-Investimenti!J24-Investimenti!J28-Investimenti!J32)*IN!$C$62*(1+IN!$C$53)),0)</f>
        <v>79299.567342053706</v>
      </c>
      <c r="G87" s="205">
        <f>IF(G5&lt;=IN!$C$47,(SUM(G16:G28,G35)*IN!$C$62*(1+IN!$C$53)+(Investimenti!K9-Investimenti!K20-Investimenti!K24-Investimenti!K28-Investimenti!K32)*IN!$C$62*(1+IN!$C$53)),0)</f>
        <v>80481.438751452122</v>
      </c>
      <c r="H87" s="205">
        <f>IF(H5&lt;=IN!$C$47,(SUM(H16:H28,H35)*IN!$C$62*(1+IN!$C$53)+(Investimenti!L9-Investimenti!L20-Investimenti!L24-Investimenti!L28-Investimenti!L32)*IN!$C$62*(1+IN!$C$53)),0)</f>
        <v>81682.906389664044</v>
      </c>
      <c r="I87" s="205">
        <f>IF(I5&lt;=IN!$C$47,(SUM(I16:I28,I35)*IN!$C$62*(1+IN!$C$53)+(Investimenti!M9-Investimenti!M20-Investimenti!M24-Investimenti!M28-Investimenti!M32)*IN!$C$62*(1+IN!$C$53)),0)</f>
        <v>82904.321769272035</v>
      </c>
      <c r="J87" s="205">
        <f>IF(J5&lt;=IN!$C$47,(SUM(J16:J28,J35)*IN!$C$62*(1+IN!$C$53)+(Investimenti!N9-Investimenti!N20-Investimenti!N24-Investimenti!N28-Investimenti!N32)*IN!$C$62*(1+IN!$C$53)),0)</f>
        <v>90162.481385154679</v>
      </c>
      <c r="K87" s="205">
        <f>IF(K5&lt;=IN!$C$47,(SUM(K16:K28,K35)*IN!$C$62*(1+IN!$C$53)+(Investimenti!O9-Investimenti!O20-Investimenti!O24-Investimenti!O28-Investimenti!O32)*IN!$C$62*(1+IN!$C$53)),0)</f>
        <v>85408.435062146295</v>
      </c>
      <c r="L87" s="205">
        <f>IF(L5&lt;=IN!$C$47,(SUM(L16:L28,L35)*IN!$C$62*(1+IN!$C$53)+(Investimenti!P9-Investimenti!P20-Investimenti!P24-Investimenti!P28-Investimenti!P32)*IN!$C$62*(1+IN!$C$53)),0)</f>
        <v>86691.869647691157</v>
      </c>
      <c r="M87" s="205">
        <f>IF(M5&lt;=IN!$C$47,(SUM(M16:M28,M35)*IN!$C$62*(1+IN!$C$53)+(Investimenti!Q9-Investimenti!Q20-Investimenti!Q24-Investimenti!Q28-Investimenti!Q32)*IN!$C$62*(1+IN!$C$53)),0)</f>
        <v>87996.725583789957</v>
      </c>
      <c r="N87" s="205">
        <f>IF(N5&lt;=IN!$C$47,(SUM(N16:N28,N35)*IN!$C$62*(1+IN!$C$53)+(Investimenti!R9-Investimenti!R20-Investimenti!R24-Investimenti!R28-Investimenti!R32)*IN!$C$62*(1+IN!$C$53)),0)</f>
        <v>89323.388824042195</v>
      </c>
      <c r="O87" s="205">
        <f>IF(O5&lt;=IN!$C$47,(SUM(O16:O28,O35)*IN!$C$62*(1+IN!$C$53)+(Investimenti!S9-Investimenti!S20-Investimenti!S24-Investimenti!S28-Investimenti!S32)*IN!$C$62*(1+IN!$C$53)),0)</f>
        <v>90672.252616385216</v>
      </c>
      <c r="P87" s="205">
        <f>IF(P5&lt;=IN!$C$47,(SUM(P16:P28,P35)*IN!$C$62*(1+IN!$C$53)+(Investimenti!T9-Investimenti!T20-Investimenti!T24-Investimenti!T28-Investimenti!T32)*IN!$C$62*(1+IN!$C$53)),0)</f>
        <v>98060.156000898074</v>
      </c>
      <c r="Q87" s="205">
        <f>IF(Q5&lt;=IN!$C$47,(SUM(Q16:Q28,Q35)*IN!$C$62*(1+IN!$C$53)+(Investimenti!U9-Investimenti!U20-Investimenti!U24-Investimenti!U28-Investimenti!U32)*IN!$C$62*(1+IN!$C$53)),0)</f>
        <v>93438.192173409378</v>
      </c>
      <c r="R87" s="205">
        <f>IF(R5&lt;=IN!$C$47,(SUM(R16:R28,R35)*IN!$C$62*(1+IN!$C$53)+(Investimenti!V9-Investimenti!V20-Investimenti!V24-Investimenti!V28-Investimenti!V32)*IN!$C$62*(1+IN!$C$53)),0)</f>
        <v>94856.092194416415</v>
      </c>
      <c r="S87" s="205">
        <f>IF(S5&lt;=IN!$C$47,(SUM(S16:S28,S35)*IN!$C$62*(1+IN!$C$53)+(Investimenti!W9-Investimenti!W20-Investimenti!W24-Investimenti!W28-Investimenti!W32)*IN!$C$62*(1+IN!$C$53)),0)</f>
        <v>96297.841577618965</v>
      </c>
      <c r="T87" s="205">
        <f>IF(T5&lt;=IN!$C$47,(SUM(T16:T28,T35)*IN!$C$62*(1+IN!$C$53)+(Investimenti!X9-Investimenti!X20-Investimenti!X24-Investimenti!X28-Investimenti!X32)*IN!$C$62*(1+IN!$C$53)),0)</f>
        <v>97763.872223878672</v>
      </c>
      <c r="U87" s="205">
        <f>IF(U5&lt;=IN!$C$47,(SUM(U16:U28,U35)*IN!$C$62*(1+IN!$C$53)+(Investimenti!Y9-Investimenti!Y20-Investimenti!Y24-Investimenti!Y28-Investimenti!Y32)*IN!$C$62*(1+IN!$C$53)),0)</f>
        <v>99254.624221210688</v>
      </c>
      <c r="V87" s="205">
        <f>IF(V5&lt;=IN!$C$47,(SUM(V16:V28,V35)*IN!$C$62*(1+IN!$C$53)+(Investimenti!Z9-Investimenti!Z20-Investimenti!Z24-Investimenti!Z28-Investimenti!Z32)*IN!$C$62*(1+IN!$C$53)),0)</f>
        <v>100770.54600401786</v>
      </c>
      <c r="W87" s="205">
        <f>IF(W5&lt;=IN!$C$47,(SUM(W16:W28,W35)*IN!$C$62*(1+IN!$C$53)+(Investimenti!AA9-Investimenti!AA20-Investimenti!AA24-Investimenti!AA28-Investimenti!AA32)*IN!$C$62*(1+IN!$C$53)),0)</f>
        <v>102312.09451546501</v>
      </c>
      <c r="X87" s="205">
        <f>IF(X5&lt;=IN!$C$47,(SUM(X16:X28,X35)*IN!$C$62*(1+IN!$C$53)+(Investimenti!AB9-Investimenti!AB20-Investimenti!AB24-Investimenti!AB28-Investimenti!AB32)*IN!$C$62*(1+IN!$C$53)),0)</f>
        <v>103879.73537305478</v>
      </c>
      <c r="Y87" s="205">
        <f>IF(Y5&lt;=IN!$C$47,(SUM(Y16:Y28,Y35)*IN!$C$62*(1+IN!$C$53)+(Investimenti!AC9-Investimenti!AC20-Investimenti!AC24-Investimenti!AC28-Investimenti!AC32)*IN!$C$62*(1+IN!$C$53)),0)</f>
        <v>105473.94303746914</v>
      </c>
      <c r="Z87" s="205">
        <f>IF(Z5&lt;=IN!$C$47,(SUM(Z16:Z28,Z35)*IN!$C$62*(1+IN!$C$53)+(Investimenti!AD9-Investimenti!AD20-Investimenti!AD24-Investimenti!AD28-Investimenti!AD32)*IN!$C$62*(1+IN!$C$53)),0)</f>
        <v>0</v>
      </c>
      <c r="AA87" s="205">
        <f>IF(AA5&lt;=IN!$C$47,(SUM(AA16:AA28,AA35)*IN!$C$62*(1+IN!$C$53)+(Investimenti!AE9-Investimenti!AE20-Investimenti!AE24-Investimenti!AE28-Investimenti!AE32)*IN!$C$62*(1+IN!$C$53)),0)</f>
        <v>0</v>
      </c>
      <c r="AB87" s="205">
        <f>IF(AB5&lt;=IN!$C$47,(SUM(AB16:AB28,AB35)*IN!$C$62*(1+IN!$C$53)+(Investimenti!AF9-Investimenti!AF20-Investimenti!AF24-Investimenti!AF28-Investimenti!AF32)*IN!$C$62*(1+IN!$C$53)),0)</f>
        <v>0</v>
      </c>
      <c r="AC87" s="205">
        <f>IF(AC5&lt;=IN!$C$47,(SUM(AC16:AC28,AC35)*IN!$C$62*(1+IN!$C$53)+(Investimenti!AG9-Investimenti!AG20-Investimenti!AG24-Investimenti!AG28-Investimenti!AG32)*IN!$C$62*(1+IN!$C$53)),0)</f>
        <v>0</v>
      </c>
      <c r="AD87" s="205">
        <f>IF(AD5&lt;=IN!$C$47,(SUM(AD16:AD28,AD35)*IN!$C$62*(1+IN!$C$53)+(Investimenti!AH9-Investimenti!AH20-Investimenti!AH24-Investimenti!AH28-Investimenti!AH32)*IN!$C$62*(1+IN!$C$53)),0)</f>
        <v>0</v>
      </c>
      <c r="AE87" s="205">
        <f>IF(AE5&lt;=IN!$C$47,(SUM(AE16:AE28,AE35)*IN!$C$62*(1+IN!$C$53)+(Investimenti!AI9-Investimenti!AI20-Investimenti!AI24-Investimenti!AI28-Investimenti!AI32)*IN!$C$62*(1+IN!$C$53)),0)</f>
        <v>0</v>
      </c>
      <c r="AF87" s="205">
        <f>IF(AF5&lt;=IN!$C$47,(SUM(AF16:AF28,AF35)*IN!$C$62*(1+IN!$C$53)+(Investimenti!AJ9-Investimenti!AJ20-Investimenti!AJ24-Investimenti!AJ28-Investimenti!AJ32)*IN!$C$62*(1+IN!$C$53)),0)</f>
        <v>0</v>
      </c>
      <c r="AG87" s="205"/>
    </row>
    <row r="88" spans="2:33" x14ac:dyDescent="0.25">
      <c r="B88" s="206"/>
      <c r="C88" s="198"/>
      <c r="D88" s="198"/>
      <c r="E88" s="198"/>
      <c r="F88" s="198"/>
      <c r="G88" s="198"/>
      <c r="H88" s="198"/>
      <c r="I88" s="198"/>
      <c r="J88" s="198"/>
      <c r="K88" s="198"/>
      <c r="L88" s="198"/>
      <c r="M88" s="198"/>
      <c r="N88" s="198"/>
      <c r="O88" s="198"/>
      <c r="P88" s="198"/>
      <c r="Q88" s="198"/>
      <c r="R88" s="198"/>
      <c r="S88" s="198"/>
      <c r="T88" s="198"/>
      <c r="U88" s="198"/>
      <c r="V88" s="198"/>
      <c r="W88" s="198"/>
      <c r="X88" s="198"/>
      <c r="Y88" s="198"/>
      <c r="Z88" s="198"/>
      <c r="AA88" s="198"/>
      <c r="AB88" s="198"/>
      <c r="AC88" s="198"/>
      <c r="AD88" s="198"/>
      <c r="AE88" s="198"/>
      <c r="AF88" s="198"/>
      <c r="AG88" s="198"/>
    </row>
    <row r="89" spans="2:33" x14ac:dyDescent="0.25">
      <c r="B89" s="801" t="s">
        <v>143</v>
      </c>
      <c r="C89" s="467" t="s">
        <v>329</v>
      </c>
      <c r="D89" s="467" t="s">
        <v>330</v>
      </c>
      <c r="E89" s="467" t="s">
        <v>331</v>
      </c>
      <c r="F89" s="467" t="s">
        <v>332</v>
      </c>
      <c r="G89" s="467" t="s">
        <v>333</v>
      </c>
      <c r="H89" s="467" t="s">
        <v>334</v>
      </c>
      <c r="I89" s="467" t="s">
        <v>335</v>
      </c>
      <c r="J89" s="467" t="s">
        <v>336</v>
      </c>
      <c r="K89" s="467" t="s">
        <v>337</v>
      </c>
      <c r="L89" s="467" t="s">
        <v>338</v>
      </c>
      <c r="M89" s="467" t="s">
        <v>339</v>
      </c>
      <c r="N89" s="467" t="s">
        <v>340</v>
      </c>
      <c r="O89" s="467" t="s">
        <v>341</v>
      </c>
      <c r="P89" s="467" t="s">
        <v>342</v>
      </c>
      <c r="Q89" s="467" t="s">
        <v>343</v>
      </c>
      <c r="R89" s="467" t="s">
        <v>344</v>
      </c>
      <c r="S89" s="467" t="s">
        <v>345</v>
      </c>
      <c r="T89" s="467" t="s">
        <v>346</v>
      </c>
      <c r="U89" s="467" t="s">
        <v>347</v>
      </c>
      <c r="V89" s="467" t="s">
        <v>348</v>
      </c>
      <c r="W89" s="467" t="s">
        <v>349</v>
      </c>
      <c r="X89" s="467" t="s">
        <v>350</v>
      </c>
      <c r="Y89" s="467" t="s">
        <v>351</v>
      </c>
      <c r="Z89" s="467" t="s">
        <v>564</v>
      </c>
      <c r="AA89" s="178" t="e">
        <f t="shared" ref="E89:AF89" si="51">Z89+1</f>
        <v>#VALUE!</v>
      </c>
      <c r="AB89" s="178" t="e">
        <f t="shared" si="51"/>
        <v>#VALUE!</v>
      </c>
      <c r="AC89" s="178" t="e">
        <f t="shared" si="51"/>
        <v>#VALUE!</v>
      </c>
      <c r="AD89" s="178" t="e">
        <f t="shared" si="51"/>
        <v>#VALUE!</v>
      </c>
      <c r="AE89" s="178" t="e">
        <f t="shared" si="51"/>
        <v>#VALUE!</v>
      </c>
      <c r="AF89" s="178" t="e">
        <f t="shared" si="51"/>
        <v>#VALUE!</v>
      </c>
      <c r="AG89" s="178" t="e">
        <f>AE89+1</f>
        <v>#VALUE!</v>
      </c>
    </row>
    <row r="90" spans="2:33" x14ac:dyDescent="0.25">
      <c r="B90" s="802"/>
      <c r="C90" s="179">
        <f>C5</f>
        <v>1</v>
      </c>
      <c r="D90" s="178">
        <f t="shared" ref="D90:AG90" si="52">D5</f>
        <v>2</v>
      </c>
      <c r="E90" s="178">
        <f t="shared" si="52"/>
        <v>3</v>
      </c>
      <c r="F90" s="178">
        <f t="shared" si="52"/>
        <v>4</v>
      </c>
      <c r="G90" s="178">
        <f t="shared" si="52"/>
        <v>5</v>
      </c>
      <c r="H90" s="178">
        <f t="shared" si="52"/>
        <v>6</v>
      </c>
      <c r="I90" s="178">
        <f t="shared" si="52"/>
        <v>7</v>
      </c>
      <c r="J90" s="178">
        <f t="shared" si="52"/>
        <v>8</v>
      </c>
      <c r="K90" s="178">
        <f t="shared" si="52"/>
        <v>9</v>
      </c>
      <c r="L90" s="178">
        <f t="shared" si="52"/>
        <v>10</v>
      </c>
      <c r="M90" s="178">
        <f t="shared" si="52"/>
        <v>11</v>
      </c>
      <c r="N90" s="178">
        <f t="shared" si="52"/>
        <v>12</v>
      </c>
      <c r="O90" s="178">
        <f t="shared" si="52"/>
        <v>13</v>
      </c>
      <c r="P90" s="178">
        <f t="shared" si="52"/>
        <v>14</v>
      </c>
      <c r="Q90" s="178">
        <f t="shared" si="52"/>
        <v>15</v>
      </c>
      <c r="R90" s="178">
        <f t="shared" si="52"/>
        <v>16</v>
      </c>
      <c r="S90" s="178">
        <f t="shared" si="52"/>
        <v>17</v>
      </c>
      <c r="T90" s="178">
        <f t="shared" si="52"/>
        <v>18</v>
      </c>
      <c r="U90" s="178">
        <f t="shared" si="52"/>
        <v>19</v>
      </c>
      <c r="V90" s="178">
        <f t="shared" si="52"/>
        <v>20</v>
      </c>
      <c r="W90" s="178">
        <f t="shared" si="52"/>
        <v>21</v>
      </c>
      <c r="X90" s="178">
        <f t="shared" si="52"/>
        <v>22</v>
      </c>
      <c r="Y90" s="178">
        <f t="shared" si="52"/>
        <v>23</v>
      </c>
      <c r="Z90" s="178">
        <f t="shared" si="52"/>
        <v>24</v>
      </c>
      <c r="AA90" s="178">
        <f t="shared" si="52"/>
        <v>25</v>
      </c>
      <c r="AB90" s="178">
        <f t="shared" si="52"/>
        <v>26</v>
      </c>
      <c r="AC90" s="178">
        <f t="shared" si="52"/>
        <v>27</v>
      </c>
      <c r="AD90" s="178">
        <f t="shared" si="52"/>
        <v>28</v>
      </c>
      <c r="AE90" s="178">
        <f t="shared" si="52"/>
        <v>29</v>
      </c>
      <c r="AF90" s="178">
        <f t="shared" ref="AF90" si="53">AF5</f>
        <v>30</v>
      </c>
      <c r="AG90" s="178">
        <f t="shared" si="52"/>
        <v>31</v>
      </c>
    </row>
    <row r="91" spans="2:33" x14ac:dyDescent="0.25">
      <c r="B91" s="207" t="s">
        <v>256</v>
      </c>
      <c r="C91" s="208">
        <f>C84</f>
        <v>-1082105.6532835755</v>
      </c>
      <c r="D91" s="209">
        <f>IF(D5&lt;=(IN!$C$47+1),(D84-C84),0)</f>
        <v>1177741.6025266466</v>
      </c>
      <c r="E91" s="209">
        <f>IF(E5&lt;=(IN!$C$47+1),(E84-D84),0)</f>
        <v>228.76729440531926</v>
      </c>
      <c r="F91" s="209">
        <f>IF(F5&lt;=(IN!$C$47+1),(F84-E84),0)</f>
        <v>231.08819181307626</v>
      </c>
      <c r="G91" s="209">
        <f>IF(G5&lt;=(IN!$C$47+1),(G84-F84),0)</f>
        <v>233.43296268422273</v>
      </c>
      <c r="H91" s="209">
        <f>IF(H5&lt;=(IN!$C$47+1),(H84-G84),0)</f>
        <v>235.80185904317477</v>
      </c>
      <c r="I91" s="209">
        <f>IF(I5&lt;=(IN!$C$47+1),(I84-H84),0)</f>
        <v>238.19513570025447</v>
      </c>
      <c r="J91" s="209">
        <f>IF(J5&lt;=(IN!$C$47+1),(J84-I84),0)</f>
        <v>-5775.8253058789123</v>
      </c>
      <c r="K91" s="209">
        <f>IF(K5&lt;=(IN!$C$47+1),(K84-J84),0)</f>
        <v>6259.4942194452306</v>
      </c>
      <c r="L91" s="209">
        <f>IF(L5&lt;=(IN!$C$47+1),(L84-K84),0)</f>
        <v>245.5238380561641</v>
      </c>
      <c r="M91" s="209">
        <f>IF(M5&lt;=(IN!$C$47+1),(M84-L84),0)</f>
        <v>248.01724090204516</v>
      </c>
      <c r="N91" s="209">
        <f>IF(N5&lt;=(IN!$C$47+1),(N84-M84),0)</f>
        <v>250.53634106565733</v>
      </c>
      <c r="O91" s="209">
        <f>IF(O5&lt;=(IN!$C$47+1),(O84-N84),0)</f>
        <v>253.08141078609333</v>
      </c>
      <c r="P91" s="209">
        <f>IF(P5&lt;=(IN!$C$47+1),(P84-O84),0)</f>
        <v>-5760.7856308345072</v>
      </c>
      <c r="Q91" s="209">
        <f>IF(Q5&lt;=(IN!$C$47+1),(Q84-P84),0)</f>
        <v>6274.6889191921655</v>
      </c>
      <c r="R91" s="209">
        <f>IF(R5&lt;=(IN!$C$47+1),(R84-Q84),0)</f>
        <v>260.87520531158953</v>
      </c>
      <c r="S91" s="209">
        <f>IF(S5&lt;=(IN!$C$47+1),(S84-R84),0)</f>
        <v>263.52693675132468</v>
      </c>
      <c r="T91" s="209">
        <f>IF(T5&lt;=(IN!$C$47+1),(T84-S84),0)</f>
        <v>266.20604509317491</v>
      </c>
      <c r="U91" s="209">
        <f>IF(U5&lt;=(IN!$C$47+1),(U84-T84),0)</f>
        <v>268.91282129795582</v>
      </c>
      <c r="V91" s="209">
        <f>IF(V5&lt;=(IN!$C$47+1),(V84-U84),0)</f>
        <v>271.64755957979651</v>
      </c>
      <c r="W91" s="209">
        <f>IF(W5&lt;=(IN!$C$47+1),(W84-V84),0)</f>
        <v>274.41055744586629</v>
      </c>
      <c r="X91" s="209">
        <f>IF(X5&lt;=(IN!$C$47+1),(X84-W84),0)</f>
        <v>277.20211573601409</v>
      </c>
      <c r="Y91" s="209">
        <f>IF(Y5&lt;=(IN!$C$47+1),(Y84-X84),0)</f>
        <v>280.02253866335377</v>
      </c>
      <c r="Z91" s="209">
        <f>IF(Z5&lt;=(IN!$C$47+1),(Z84-Y84),0)</f>
        <v>-100960.76949933005</v>
      </c>
      <c r="AA91" s="209">
        <f>IF(AA5&lt;=(IN!$C$47+1),(AA84-Z84),0)</f>
        <v>0</v>
      </c>
      <c r="AB91" s="209">
        <f>IF(AB5&lt;=(IN!$C$47+1),(AB84-AA84),0)</f>
        <v>0</v>
      </c>
      <c r="AC91" s="209">
        <f>IF(AC5&lt;=(IN!$C$47+1),(AC84-AB84),0)</f>
        <v>0</v>
      </c>
      <c r="AD91" s="209">
        <f>IF(AD5&lt;=(IN!$C$47+1),(AD84-AC84),0)</f>
        <v>0</v>
      </c>
      <c r="AE91" s="209">
        <f>IF(AE5&lt;=(IN!$C$47+1),(AE84-AD84),0)</f>
        <v>0</v>
      </c>
      <c r="AF91" s="209">
        <f>IF(AF5&lt;=(IN!$C$47+1),(AF84-AE84),0)</f>
        <v>0</v>
      </c>
      <c r="AG91" s="210">
        <f>IF(AG5&lt;=(IN!$C$47+1),(AG84-AF84),0)</f>
        <v>0</v>
      </c>
    </row>
    <row r="92" spans="2:33" x14ac:dyDescent="0.25">
      <c r="B92" s="99"/>
      <c r="C92" s="99"/>
      <c r="D92" s="113"/>
      <c r="E92" s="113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99"/>
      <c r="Z92" s="99"/>
      <c r="AA92" s="99"/>
      <c r="AB92" s="99"/>
      <c r="AC92" s="99"/>
      <c r="AD92" s="99"/>
      <c r="AE92" s="99"/>
      <c r="AF92" s="99"/>
      <c r="AG92" s="113"/>
    </row>
    <row r="93" spans="2:33" x14ac:dyDescent="0.25">
      <c r="B93" s="99"/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99"/>
      <c r="X93" s="99"/>
      <c r="Y93" s="99"/>
      <c r="Z93" s="99"/>
      <c r="AA93" s="99"/>
      <c r="AB93" s="99"/>
      <c r="AC93" s="99"/>
      <c r="AD93" s="99"/>
      <c r="AE93" s="99"/>
      <c r="AF93" s="99"/>
      <c r="AG93" s="99"/>
    </row>
    <row r="94" spans="2:33" x14ac:dyDescent="0.25">
      <c r="B94" s="142"/>
      <c r="C94" s="142"/>
      <c r="D94" s="142"/>
      <c r="E94" s="142"/>
      <c r="F94" s="142"/>
      <c r="G94" s="142"/>
      <c r="H94" s="142"/>
      <c r="I94" s="142"/>
      <c r="J94" s="142"/>
      <c r="K94" s="142"/>
      <c r="L94" s="142"/>
      <c r="M94" s="143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142"/>
      <c r="AD94" s="142"/>
      <c r="AE94" s="142"/>
      <c r="AF94" s="142"/>
      <c r="AG94" s="142"/>
    </row>
    <row r="95" spans="2:33" x14ac:dyDescent="0.25">
      <c r="C95" s="410"/>
    </row>
  </sheetData>
  <mergeCells count="3">
    <mergeCell ref="B4:B5"/>
    <mergeCell ref="B82:B83"/>
    <mergeCell ref="B89:B90"/>
  </mergeCells>
  <phoneticPr fontId="78" type="noConversion"/>
  <pageMargins left="7.874015748031496E-2" right="7.874015748031496E-2" top="0.59055118110236227" bottom="0.59055118110236227" header="7.874015748031496E-2" footer="7.874015748031496E-2"/>
  <pageSetup paperSize="9" scale="48" orientation="landscape" r:id="rId1"/>
  <headerFooter scaleWithDoc="0" alignWithMargins="0">
    <oddFooter>&amp;CConto economico e capitale circolante  - Ipotesi 1&amp;RPag 4</oddFooter>
  </headerFooter>
  <ignoredErrors>
    <ignoredError sqref="C94:W94 E93 G93:W93 W34:AE34 C34 AG7:AH8 AH13 AG32:AH38 AG12:AH12 X37:AF38 X36:AE36 C29:AH31 D35:AE35 C40:AH44 C36:W39 C14:AH14 C88:W88 C92:C93 C86:AH86 C79:AH81 E92:AH92 F91:AH91 E87:W87 C15:AG15 D32:AE32 E46:AH46 X39:AH39 V49:AH49 C48:AH48 Z28:AH28 D47:AH47 D45:AH45 D6:AH6 AF32:AF36 C33:AE33 X87:AH88 C51:AH54 E50:AH50 C77:AH77 AH76 D85:AH85 C57:AH57 G55:AH55 G58:AH58 F59:AH60 C63:AH64 C61 F61 C75 E75:AH75 F62:AH62 F56:AH56 H61:AH61 C68:AH74 E65:AH65 F66:AH66 C67:D67 G67:AH67 C78:R78 U78:AH78 AH15:AH17 Z17:AG17 C83:AH84 AA82:AH82 C90:W90 X90:AH90 AA89:AH89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9" operator="greaterThan" id="{50A103C8-2120-4346-B1B9-EF0F77B520D8}">
            <xm:f>IN!$C$47+1</xm:f>
            <x14:dxf>
              <font>
                <b val="0"/>
                <i val="0"/>
                <color rgb="FF353599"/>
              </font>
              <fill>
                <patternFill patternType="solid">
                  <bgColor rgb="FF353599"/>
                </patternFill>
              </fill>
            </x14:dxf>
          </x14:cfRule>
          <xm:sqref>C5:AG5</xm:sqref>
        </x14:conditionalFormatting>
        <x14:conditionalFormatting xmlns:xm="http://schemas.microsoft.com/office/excel/2006/main">
          <x14:cfRule type="cellIs" priority="2" operator="greaterThan" id="{0342D03F-0DB2-4458-B10C-39FA74F060F5}">
            <xm:f>IN!$C$52+1</xm:f>
            <x14:dxf>
              <font>
                <color rgb="FF353599"/>
              </font>
              <fill>
                <patternFill>
                  <fgColor rgb="FF353599"/>
                </patternFill>
              </fill>
            </x14:dxf>
          </x14:cfRule>
          <xm:sqref>AA82:AG82</xm:sqref>
        </x14:conditionalFormatting>
        <x14:conditionalFormatting xmlns:xm="http://schemas.microsoft.com/office/excel/2006/main">
          <x14:cfRule type="cellIs" priority="8" operator="greaterThan" id="{C492602D-D48D-42B8-B33E-ACFEB3BE9D0C}">
            <xm:f>IN!$C$47+1</xm:f>
            <x14:dxf>
              <font>
                <b val="0"/>
                <i val="0"/>
                <color rgb="FF353599"/>
              </font>
              <fill>
                <patternFill patternType="solid">
                  <bgColor rgb="FF353599"/>
                </patternFill>
              </fill>
            </x14:dxf>
          </x14:cfRule>
          <xm:sqref>C83:AG83</xm:sqref>
        </x14:conditionalFormatting>
        <x14:conditionalFormatting xmlns:xm="http://schemas.microsoft.com/office/excel/2006/main">
          <x14:cfRule type="cellIs" priority="1" operator="greaterThan" id="{08092C13-D5C3-4614-A6AE-D2CAFFEAB22E}">
            <xm:f>IN!$C$52+1</xm:f>
            <x14:dxf>
              <font>
                <color rgb="FF353599"/>
              </font>
              <fill>
                <patternFill>
                  <fgColor rgb="FF353599"/>
                </patternFill>
              </fill>
            </x14:dxf>
          </x14:cfRule>
          <xm:sqref>AA89:AG89</xm:sqref>
        </x14:conditionalFormatting>
        <x14:conditionalFormatting xmlns:xm="http://schemas.microsoft.com/office/excel/2006/main">
          <x14:cfRule type="cellIs" priority="7" operator="greaterThan" id="{53C3EBF3-E129-4747-9980-BAFC64418F77}">
            <xm:f>IN!$C$47+1</xm:f>
            <x14:dxf>
              <font>
                <b val="0"/>
                <i val="0"/>
                <color rgb="FF353599"/>
              </font>
              <fill>
                <patternFill patternType="solid">
                  <bgColor rgb="FF353599"/>
                </patternFill>
              </fill>
            </x14:dxf>
          </x14:cfRule>
          <xm:sqref>C90:AG90</xm:sqref>
        </x14:conditionalFormatting>
        <x14:conditionalFormatting xmlns:xm="http://schemas.microsoft.com/office/excel/2006/main">
          <x14:cfRule type="cellIs" priority="11" operator="greaterThan" id="{99FB4B3A-0BEC-46F1-A4D5-8573C36B3379}">
            <xm:f>IN!$C$52+1</xm:f>
            <x14:dxf>
              <font>
                <b val="0"/>
                <i val="0"/>
                <color rgb="FF353599"/>
              </font>
              <fill>
                <patternFill patternType="solid">
                  <bgColor rgb="FF353599"/>
                </patternFill>
              </fill>
            </x14:dxf>
          </x14:cfRule>
          <xm:sqref>AA4:AG4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oglio8">
    <tabColor rgb="FF92D050"/>
    <pageSetUpPr fitToPage="1"/>
  </sheetPr>
  <dimension ref="B1:AH81"/>
  <sheetViews>
    <sheetView topLeftCell="C32" zoomScale="90" zoomScaleNormal="90" workbookViewId="0">
      <selection activeCell="C73" sqref="C73"/>
    </sheetView>
  </sheetViews>
  <sheetFormatPr defaultRowHeight="15" outlineLevelRow="1" x14ac:dyDescent="0.25"/>
  <cols>
    <col min="1" max="1" width="2.7109375" customWidth="1"/>
    <col min="2" max="2" width="44.5703125" customWidth="1"/>
    <col min="3" max="33" width="10.7109375" customWidth="1"/>
  </cols>
  <sheetData>
    <row r="1" spans="2:33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2:33" ht="23.25" x14ac:dyDescent="0.35">
      <c r="B2" s="175" t="s">
        <v>257</v>
      </c>
      <c r="C2" s="175"/>
      <c r="D2" s="175"/>
      <c r="E2" s="175"/>
      <c r="F2" s="175"/>
      <c r="G2" s="175"/>
      <c r="H2" s="175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</row>
    <row r="3" spans="2:33" ht="15.75" x14ac:dyDescent="0.25">
      <c r="B3" s="334" t="s">
        <v>206</v>
      </c>
      <c r="C3" s="129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</row>
    <row r="4" spans="2:33" x14ac:dyDescent="0.25">
      <c r="B4" s="803" t="s">
        <v>143</v>
      </c>
      <c r="C4" s="467" t="s">
        <v>329</v>
      </c>
      <c r="D4" s="467" t="s">
        <v>330</v>
      </c>
      <c r="E4" s="467" t="s">
        <v>331</v>
      </c>
      <c r="F4" s="467" t="s">
        <v>332</v>
      </c>
      <c r="G4" s="467" t="s">
        <v>333</v>
      </c>
      <c r="H4" s="467" t="s">
        <v>334</v>
      </c>
      <c r="I4" s="467" t="s">
        <v>335</v>
      </c>
      <c r="J4" s="467" t="s">
        <v>336</v>
      </c>
      <c r="K4" s="467" t="s">
        <v>337</v>
      </c>
      <c r="L4" s="467" t="s">
        <v>338</v>
      </c>
      <c r="M4" s="467" t="s">
        <v>339</v>
      </c>
      <c r="N4" s="467" t="s">
        <v>340</v>
      </c>
      <c r="O4" s="467" t="s">
        <v>341</v>
      </c>
      <c r="P4" s="467" t="s">
        <v>342</v>
      </c>
      <c r="Q4" s="467" t="s">
        <v>343</v>
      </c>
      <c r="R4" s="467" t="s">
        <v>344</v>
      </c>
      <c r="S4" s="467" t="s">
        <v>345</v>
      </c>
      <c r="T4" s="467" t="s">
        <v>346</v>
      </c>
      <c r="U4" s="467" t="s">
        <v>347</v>
      </c>
      <c r="V4" s="467" t="s">
        <v>348</v>
      </c>
      <c r="W4" s="467" t="s">
        <v>349</v>
      </c>
      <c r="X4" s="467" t="s">
        <v>350</v>
      </c>
      <c r="Y4" s="467" t="s">
        <v>351</v>
      </c>
      <c r="Z4" s="212" t="e">
        <f t="shared" ref="E4:AE4" si="0">Y4+1</f>
        <v>#VALUE!</v>
      </c>
      <c r="AA4" s="212" t="e">
        <f t="shared" si="0"/>
        <v>#VALUE!</v>
      </c>
      <c r="AB4" s="212" t="e">
        <f t="shared" si="0"/>
        <v>#VALUE!</v>
      </c>
      <c r="AC4" s="212" t="e">
        <f t="shared" si="0"/>
        <v>#VALUE!</v>
      </c>
      <c r="AD4" s="212" t="e">
        <f t="shared" si="0"/>
        <v>#VALUE!</v>
      </c>
      <c r="AE4" s="212" t="e">
        <f t="shared" si="0"/>
        <v>#VALUE!</v>
      </c>
      <c r="AF4" s="212" t="e">
        <f t="shared" ref="AF4:AF5" si="1">AE4+1</f>
        <v>#VALUE!</v>
      </c>
      <c r="AG4" s="212" t="e">
        <f t="shared" ref="AG4:AG5" si="2">AF4+1</f>
        <v>#VALUE!</v>
      </c>
    </row>
    <row r="5" spans="2:33" x14ac:dyDescent="0.25">
      <c r="B5" s="804"/>
      <c r="C5" s="211">
        <v>1</v>
      </c>
      <c r="D5" s="212">
        <f>C5+1</f>
        <v>2</v>
      </c>
      <c r="E5" s="212">
        <f t="shared" ref="E5:AE5" si="3">D5+1</f>
        <v>3</v>
      </c>
      <c r="F5" s="212">
        <f t="shared" si="3"/>
        <v>4</v>
      </c>
      <c r="G5" s="212">
        <f t="shared" si="3"/>
        <v>5</v>
      </c>
      <c r="H5" s="212">
        <f t="shared" si="3"/>
        <v>6</v>
      </c>
      <c r="I5" s="212">
        <f t="shared" si="3"/>
        <v>7</v>
      </c>
      <c r="J5" s="212">
        <f t="shared" si="3"/>
        <v>8</v>
      </c>
      <c r="K5" s="212">
        <f t="shared" si="3"/>
        <v>9</v>
      </c>
      <c r="L5" s="212">
        <f t="shared" si="3"/>
        <v>10</v>
      </c>
      <c r="M5" s="212">
        <f t="shared" si="3"/>
        <v>11</v>
      </c>
      <c r="N5" s="212">
        <f t="shared" si="3"/>
        <v>12</v>
      </c>
      <c r="O5" s="212">
        <f t="shared" si="3"/>
        <v>13</v>
      </c>
      <c r="P5" s="212">
        <f t="shared" si="3"/>
        <v>14</v>
      </c>
      <c r="Q5" s="212">
        <f t="shared" si="3"/>
        <v>15</v>
      </c>
      <c r="R5" s="212">
        <f t="shared" si="3"/>
        <v>16</v>
      </c>
      <c r="S5" s="212">
        <f t="shared" si="3"/>
        <v>17</v>
      </c>
      <c r="T5" s="212">
        <f t="shared" si="3"/>
        <v>18</v>
      </c>
      <c r="U5" s="212">
        <f t="shared" si="3"/>
        <v>19</v>
      </c>
      <c r="V5" s="212">
        <f t="shared" si="3"/>
        <v>20</v>
      </c>
      <c r="W5" s="212">
        <f t="shared" si="3"/>
        <v>21</v>
      </c>
      <c r="X5" s="212">
        <f t="shared" si="3"/>
        <v>22</v>
      </c>
      <c r="Y5" s="212">
        <f t="shared" si="3"/>
        <v>23</v>
      </c>
      <c r="Z5" s="212">
        <f t="shared" si="3"/>
        <v>24</v>
      </c>
      <c r="AA5" s="212">
        <f t="shared" si="3"/>
        <v>25</v>
      </c>
      <c r="AB5" s="212">
        <f t="shared" si="3"/>
        <v>26</v>
      </c>
      <c r="AC5" s="212">
        <f t="shared" si="3"/>
        <v>27</v>
      </c>
      <c r="AD5" s="212">
        <f t="shared" si="3"/>
        <v>28</v>
      </c>
      <c r="AE5" s="212">
        <f t="shared" si="3"/>
        <v>29</v>
      </c>
      <c r="AF5" s="212">
        <f t="shared" si="1"/>
        <v>30</v>
      </c>
      <c r="AG5" s="212">
        <f t="shared" si="2"/>
        <v>31</v>
      </c>
    </row>
    <row r="6" spans="2:33" x14ac:dyDescent="0.25">
      <c r="B6" s="322" t="s">
        <v>258</v>
      </c>
      <c r="C6" s="324">
        <f>'CE CC opz1'!C40</f>
        <v>-224985.12434734972</v>
      </c>
      <c r="D6" s="324">
        <f>'CE CC opz1'!D40</f>
        <v>239861.56852585022</v>
      </c>
      <c r="E6" s="324">
        <f>'CE CC opz1'!E40</f>
        <v>240983.36005781431</v>
      </c>
      <c r="F6" s="324">
        <f>'CE CC opz1'!F40</f>
        <v>242116.5351735306</v>
      </c>
      <c r="G6" s="324">
        <f>'CE CC opz1'!G40</f>
        <v>243261.21102220521</v>
      </c>
      <c r="H6" s="324">
        <f>'CE CC opz1'!H40</f>
        <v>244417.5059908042</v>
      </c>
      <c r="I6" s="324">
        <f>'CE CC opz1'!I40</f>
        <v>245585.53971775479</v>
      </c>
      <c r="J6" s="324">
        <f>'CE CC opz1'!J40</f>
        <v>216765.43310681483</v>
      </c>
      <c r="K6" s="324">
        <f>'CE CC opz1'!K40</f>
        <v>247957.30834110119</v>
      </c>
      <c r="L6" s="324">
        <f>'CE CC opz1'!L40</f>
        <v>249161.28889729359</v>
      </c>
      <c r="M6" s="324">
        <f>'CE CC opz1'!M40</f>
        <v>250377.49956000186</v>
      </c>
      <c r="N6" s="324">
        <f>'CE CC opz1'!N40</f>
        <v>251606.06643631044</v>
      </c>
      <c r="O6" s="324">
        <f>'CE CC opz1'!O40</f>
        <v>252847.116970495</v>
      </c>
      <c r="P6" s="324">
        <f>'CE CC opz1'!P40</f>
        <v>224100.77995891645</v>
      </c>
      <c r="Q6" s="324">
        <f>'CE CC opz1'!Q40</f>
        <v>255367.18556509467</v>
      </c>
      <c r="R6" s="324">
        <f>'CE CC opz1'!R40</f>
        <v>256646.46533496495</v>
      </c>
      <c r="S6" s="324">
        <f>'CE CC opz1'!S40</f>
        <v>257938.75221231699</v>
      </c>
      <c r="T6" s="324">
        <f>'CE CC opz1'!T40</f>
        <v>259244.1805544213</v>
      </c>
      <c r="U6" s="324">
        <f>'CE CC opz1'!U40</f>
        <v>260562.88614784469</v>
      </c>
      <c r="V6" s="324">
        <f>'CE CC opz1'!V40</f>
        <v>261895.00622445837</v>
      </c>
      <c r="W6" s="324">
        <f>'CE CC opz1'!W40</f>
        <v>263653.1478276914</v>
      </c>
      <c r="X6" s="324">
        <f>'CE CC opz1'!X40</f>
        <v>265035.37149222218</v>
      </c>
      <c r="Y6" s="324">
        <f>'CE CC opz1'!Y40</f>
        <v>266431.65874102165</v>
      </c>
      <c r="Z6" s="324">
        <f>'CE CC opz1'!Z40</f>
        <v>0</v>
      </c>
      <c r="AA6" s="324">
        <f>'CE CC opz1'!AA40</f>
        <v>0</v>
      </c>
      <c r="AB6" s="324">
        <f>'CE CC opz1'!AB40</f>
        <v>0</v>
      </c>
      <c r="AC6" s="324">
        <f>'CE CC opz1'!AC40</f>
        <v>0</v>
      </c>
      <c r="AD6" s="324">
        <f>'CE CC opz1'!AD40</f>
        <v>0</v>
      </c>
      <c r="AE6" s="324">
        <f>'CE CC opz1'!AE40</f>
        <v>0</v>
      </c>
      <c r="AF6" s="324">
        <f>'CE CC opz1'!AF40</f>
        <v>0</v>
      </c>
      <c r="AG6" s="324"/>
    </row>
    <row r="7" spans="2:33" x14ac:dyDescent="0.25">
      <c r="B7" s="322" t="s">
        <v>259</v>
      </c>
      <c r="C7" s="324">
        <f>'CE CC opz1'!C39</f>
        <v>235119.70527066509</v>
      </c>
      <c r="D7" s="324">
        <f>'CE CC opz1'!D39</f>
        <v>235119.70527066509</v>
      </c>
      <c r="E7" s="324">
        <f>'CE CC opz1'!E39</f>
        <v>235119.70527066509</v>
      </c>
      <c r="F7" s="324">
        <f>'CE CC opz1'!F39</f>
        <v>235119.70527066509</v>
      </c>
      <c r="G7" s="324">
        <f>'CE CC opz1'!G39</f>
        <v>235119.70527066509</v>
      </c>
      <c r="H7" s="324">
        <f>'CE CC opz1'!H39</f>
        <v>235119.70527066509</v>
      </c>
      <c r="I7" s="324">
        <f>'CE CC opz1'!I39</f>
        <v>235119.70527066509</v>
      </c>
      <c r="J7" s="324">
        <f>'CE CC opz1'!J39</f>
        <v>235119.70527066509</v>
      </c>
      <c r="K7" s="324">
        <f>'CE CC opz1'!K39</f>
        <v>235119.70527066509</v>
      </c>
      <c r="L7" s="324">
        <f>'CE CC opz1'!L39</f>
        <v>235119.70527066509</v>
      </c>
      <c r="M7" s="324">
        <f>'CE CC opz1'!M39</f>
        <v>235119.70527066509</v>
      </c>
      <c r="N7" s="324">
        <f>'CE CC opz1'!N39</f>
        <v>235119.70527066509</v>
      </c>
      <c r="O7" s="324">
        <f>'CE CC opz1'!O39</f>
        <v>235119.70527066509</v>
      </c>
      <c r="P7" s="324">
        <f>'CE CC opz1'!P39</f>
        <v>235119.70527066509</v>
      </c>
      <c r="Q7" s="324">
        <f>'CE CC opz1'!Q39</f>
        <v>235119.70527066509</v>
      </c>
      <c r="R7" s="324">
        <f>'CE CC opz1'!R39</f>
        <v>235119.70527066509</v>
      </c>
      <c r="S7" s="324">
        <f>'CE CC opz1'!S39</f>
        <v>235119.70527066509</v>
      </c>
      <c r="T7" s="324">
        <f>'CE CC opz1'!T39</f>
        <v>235119.70527066509</v>
      </c>
      <c r="U7" s="324">
        <f>'CE CC opz1'!U39</f>
        <v>235119.70527066509</v>
      </c>
      <c r="V7" s="324">
        <f>'CE CC opz1'!V39</f>
        <v>235119.70527066509</v>
      </c>
      <c r="W7" s="324">
        <f>'CE CC opz1'!W39</f>
        <v>235119.70527066509</v>
      </c>
      <c r="X7" s="324">
        <f>'CE CC opz1'!X39</f>
        <v>235119.70527066509</v>
      </c>
      <c r="Y7" s="324">
        <f>'CE CC opz1'!Y39</f>
        <v>235119.70527066509</v>
      </c>
      <c r="Z7" s="324">
        <f>'CE CC opz1'!Z39</f>
        <v>0</v>
      </c>
      <c r="AA7" s="324">
        <f>'CE CC opz1'!AA39</f>
        <v>0</v>
      </c>
      <c r="AB7" s="324">
        <f>'CE CC opz1'!AB39</f>
        <v>0</v>
      </c>
      <c r="AC7" s="324">
        <f>'CE CC opz1'!AC39</f>
        <v>0</v>
      </c>
      <c r="AD7" s="324">
        <f>'CE CC opz1'!AD39</f>
        <v>0</v>
      </c>
      <c r="AE7" s="324">
        <f>'CE CC opz1'!AE39</f>
        <v>0</v>
      </c>
      <c r="AF7" s="324">
        <f>'CE CC opz1'!AF39</f>
        <v>0</v>
      </c>
      <c r="AG7" s="324"/>
    </row>
    <row r="8" spans="2:33" x14ac:dyDescent="0.25">
      <c r="B8" s="322" t="s">
        <v>260</v>
      </c>
      <c r="C8" s="324">
        <f>IF(C5&lt;=IN!$C$47,IF(C6&gt;0,-C6*IN!$C$54,0),0)+IF(C5&lt;=IN!$C$47,IF((C6+'CE CC opz1'!C32)&gt;0,-(C6+'CE CC opz1'!C32)*IN!$C$55,0),0)</f>
        <v>0</v>
      </c>
      <c r="D8" s="324">
        <f>IF(D5&lt;=IN!$C$47,IF(D6&gt;0,-D6*IN!$C$54,0),0)+IF(D5&lt;=IN!$C$47,IF((D6+'CE CC opz1'!D32)&gt;0,-(D6+'CE CC opz1'!D32)*IN!$C$55,0),0)</f>
        <v>-67720.425080249755</v>
      </c>
      <c r="E8" s="324">
        <f>IF(E5&lt;=IN!$C$47,IF(E6&gt;0,-E6*IN!$C$54,0),0)+IF(E5&lt;=IN!$C$47,IF((E6+'CE CC opz1'!E32)&gt;0,-(E6+'CE CC opz1'!E32)*IN!$C$55,0),0)</f>
        <v>-68037.564919823228</v>
      </c>
      <c r="F8" s="324">
        <f>IF(F5&lt;=IN!$C$47,IF(F6&gt;0,-F6*IN!$C$54,0),0)+IF(F5&lt;=IN!$C$47,IF((F6+'CE CC opz1'!F32)&gt;0,-(F6+'CE CC opz1'!F32)*IN!$C$55,0),0)</f>
        <v>-68357.922876290424</v>
      </c>
      <c r="G8" s="324">
        <f>IF(G5&lt;=IN!$C$47,IF(G6&gt;0,-G6*IN!$C$54,0),0)+IF(G5&lt;=IN!$C$47,IF((G6+'CE CC opz1'!G32)&gt;0,-(G6+'CE CC opz1'!G32)*IN!$C$55,0),0)</f>
        <v>-68681.532065190215</v>
      </c>
      <c r="H8" s="324">
        <f>IF(H5&lt;=IN!$C$47,IF(H6&gt;0,-H6*IN!$C$54,0),0)+IF(H5&lt;=IN!$C$47,IF((H6+'CE CC opz1'!H32)&gt;0,-(H6+'CE CC opz1'!H32)*IN!$C$55,0),0)</f>
        <v>-69008.425951904414</v>
      </c>
      <c r="I8" s="324">
        <f>IF(I5&lt;=IN!$C$47,IF(I6&gt;0,-I6*IN!$C$54,0),0)+IF(I5&lt;=IN!$C$47,IF((I6+'CE CC opz1'!I32)&gt;0,-(I6+'CE CC opz1'!I32)*IN!$C$55,0),0)</f>
        <v>-69338.63835552946</v>
      </c>
      <c r="J8" s="324">
        <f>IF(J5&lt;=IN!$C$47,IF(J6&gt;0,-J6*IN!$C$54,0),0)+IF(J5&lt;=IN!$C$47,IF((J6+'CE CC opz1'!J32)&gt;0,-(J6+'CE CC opz1'!J32)*IN!$C$55,0),0)</f>
        <v>-61212.203452795613</v>
      </c>
      <c r="K8" s="324">
        <f>IF(K5&lt;=IN!$C$47,IF(K6&gt;0,-K6*IN!$C$54,0),0)+IF(K5&lt;=IN!$C$47,IF((K6+'CE CC opz1'!K32)&gt;0,-(K6+'CE CC opz1'!K32)*IN!$C$55,0),0)</f>
        <v>-70009.155782031099</v>
      </c>
      <c r="L8" s="324">
        <f>IF(L5&lt;=IN!$C$47,IF(L6&gt;0,-L6*IN!$C$54,0),0)+IF(L5&lt;=IN!$C$47,IF((L6+'CE CC opz1'!L32)&gt;0,-(L6+'CE CC opz1'!L32)*IN!$C$55,0),0)</f>
        <v>-70349.53024717576</v>
      </c>
      <c r="M8" s="324">
        <f>IF(M5&lt;=IN!$C$47,IF(M6&gt;0,-M6*IN!$C$54,0),0)+IF(M5&lt;=IN!$C$47,IF((M6+'CE CC opz1'!M32)&gt;0,-(M6+'CE CC opz1'!M32)*IN!$C$55,0),0)</f>
        <v>-70693.362121840881</v>
      </c>
      <c r="N8" s="324">
        <f>IF(N5&lt;=IN!$C$47,IF(N6&gt;0,-N6*IN!$C$54,0),0)+IF(N5&lt;=IN!$C$47,IF((N6+'CE CC opz1'!N32)&gt;0,-(N6+'CE CC opz1'!N32)*IN!$C$55,0),0)</f>
        <v>-71040.687053419111</v>
      </c>
      <c r="O8" s="324">
        <f>IF(O5&lt;=IN!$C$47,IF(O6&gt;0,-O6*IN!$C$54,0),0)+IF(O5&lt;=IN!$C$47,IF((O6+'CE CC opz1'!O32)&gt;0,-(O6+'CE CC opz1'!O32)*IN!$C$55,0),0)</f>
        <v>-71391.541067242957</v>
      </c>
      <c r="P8" s="324">
        <f>IF(P5&lt;=IN!$C$47,IF(P6&gt;0,-P6*IN!$C$54,0),0)+IF(P5&lt;=IN!$C$47,IF((P6+'CE CC opz1'!P32)&gt;0,-(P6+'CE CC opz1'!P32)*IN!$C$55,0),0)</f>
        <v>-63285.960570793432</v>
      </c>
      <c r="Q8" s="324">
        <f>IF(Q5&lt;=IN!$C$47,IF(Q6&gt;0,-Q6*IN!$C$54,0),0)+IF(Q5&lt;=IN!$C$47,IF((Q6+'CE CC opz1'!Q32)&gt;0,-(Q6+'CE CC opz1'!Q32)*IN!$C$55,0),0)</f>
        <v>-72103.982357959481</v>
      </c>
      <c r="R8" s="324">
        <f>IF(R5&lt;=IN!$C$47,IF(R6&gt;0,-R6*IN!$C$54,0),0)+IF(R5&lt;=IN!$C$47,IF((R6+'CE CC opz1'!R32)&gt;0,-(R6+'CE CC opz1'!R32)*IN!$C$55,0),0)</f>
        <v>-72465.643613348933</v>
      </c>
      <c r="S8" s="324">
        <f>IF(S5&lt;=IN!$C$47,IF(S6&gt;0,-S6*IN!$C$54,0),0)+IF(S5&lt;=IN!$C$47,IF((S6+'CE CC opz1'!S32)&gt;0,-(S6+'CE CC opz1'!S32)*IN!$C$55,0),0)</f>
        <v>-72830.981916651101</v>
      </c>
      <c r="T8" s="324">
        <f>IF(T5&lt;=IN!$C$47,IF(T6&gt;0,-T6*IN!$C$54,0),0)+IF(T5&lt;=IN!$C$47,IF((T6+'CE CC opz1'!T32)&gt;0,-(T6+'CE CC opz1'!T32)*IN!$C$55,0),0)</f>
        <v>-73200.035247052292</v>
      </c>
      <c r="U8" s="324">
        <f>IF(U5&lt;=IN!$C$47,IF(U6&gt;0,-U6*IN!$C$54,0),0)+IF(U5&lt;=IN!$C$47,IF((U6+'CE CC opz1'!U32)&gt;0,-(U6+'CE CC opz1'!U32)*IN!$C$55,0),0)</f>
        <v>-73572.841987704742</v>
      </c>
      <c r="V8" s="324">
        <f>IF(V5&lt;=IN!$C$47,IF(V6&gt;0,-V6*IN!$C$54,0),0)+IF(V5&lt;=IN!$C$47,IF((V6+'CE CC opz1'!V32)&gt;0,-(V6+'CE CC opz1'!V32)*IN!$C$55,0),0)</f>
        <v>-73949.440930249926</v>
      </c>
      <c r="W8" s="324">
        <f>IF(W5&lt;=IN!$C$47,IF(W6&gt;0,-W6*IN!$C$54,0),0)+IF(W5&lt;=IN!$C$47,IF((W6+'CE CC opz1'!W32)&gt;0,-(W6+'CE CC opz1'!W32)*IN!$C$55,0),0)</f>
        <v>-74428.86368340897</v>
      </c>
      <c r="X8" s="324">
        <f>IF(X5&lt;=IN!$C$47,IF(X6&gt;0,-X6*IN!$C$54,0),0)+IF(X5&lt;=IN!$C$47,IF((X6+'CE CC opz1'!X32)&gt;0,-(X6+'CE CC opz1'!X32)*IN!$C$55,0),0)</f>
        <v>-74818.650756806659</v>
      </c>
      <c r="Y8" s="324">
        <f>IF(Y5&lt;=IN!$C$47,IF(Y6&gt;0,-Y6*IN!$C$54,0),0)+IF(Y5&lt;=IN!$C$47,IF((Y6+'CE CC opz1'!Y32)&gt;0,-(Y6+'CE CC opz1'!Y32)*IN!$C$55,0),0)</f>
        <v>-75212.403760968096</v>
      </c>
      <c r="Z8" s="324">
        <f>IF(Z5&lt;=IN!$C$47,IF(Z6&gt;0,-Z6*IN!$C$54,0),0)+IF(Z5&lt;=IN!$C$47,IF((Z6+'CE CC opz1'!Z32)&gt;0,-(Z6+'CE CC opz1'!Z32)*IN!$C$55,0),0)</f>
        <v>0</v>
      </c>
      <c r="AA8" s="324">
        <f>IF(AA5&lt;=IN!$C$47,IF(AA6&gt;0,-AA6*IN!$C$54,0),0)+IF(AA5&lt;=IN!$C$47,IF((AA6+'CE CC opz1'!AA32)&gt;0,-(AA6+'CE CC opz1'!AA32)*IN!$C$55,0),0)</f>
        <v>0</v>
      </c>
      <c r="AB8" s="324">
        <f>IF(AB5&lt;=IN!$C$47,IF(AB6&gt;0,-AB6*IN!$C$54,0),0)+IF(AB5&lt;=IN!$C$47,IF((AB6+'CE CC opz1'!AB32)&gt;0,-(AB6+'CE CC opz1'!AB32)*IN!$C$55,0),0)</f>
        <v>0</v>
      </c>
      <c r="AC8" s="324">
        <f>IF(AC5&lt;=IN!$C$47,IF(AC6&gt;0,-AC6*IN!$C$54,0),0)+IF(AC5&lt;=IN!$C$47,IF((AC6+'CE CC opz1'!AC32)&gt;0,-(AC6+'CE CC opz1'!AC32)*IN!$C$55,0),0)</f>
        <v>0</v>
      </c>
      <c r="AD8" s="324">
        <f>IF(AD5&lt;=IN!$C$47,IF(AD6&gt;0,-AD6*IN!$C$54,0),0)+IF(AD5&lt;=IN!$C$47,IF((AD6+'CE CC opz1'!AD32)&gt;0,-(AD6+'CE CC opz1'!AD32)*IN!$C$55,0),0)</f>
        <v>0</v>
      </c>
      <c r="AE8" s="324">
        <f>IF(AE5&lt;=IN!$C$47,IF(AE6&gt;0,-AE6*IN!$C$54,0),0)+IF(AE5&lt;=IN!$C$47,IF((AE6+'CE CC opz1'!AE32)&gt;0,-(AE6+'CE CC opz1'!AE32)*IN!$C$55,0),0)</f>
        <v>0</v>
      </c>
      <c r="AF8" s="324">
        <f>IF(AF5&lt;=IN!$C$47,IF(AF6&gt;0,-AF6*IN!$C$54,0),0)+IF(AF5&lt;=IN!$C$47,IF((AF6+'CE CC opz1'!AF32)&gt;0,-(AF6+'CE CC opz1'!AF32)*IN!$C$55,0),0)</f>
        <v>0</v>
      </c>
      <c r="AG8" s="324"/>
    </row>
    <row r="9" spans="2:33" x14ac:dyDescent="0.25">
      <c r="B9" s="325" t="s">
        <v>261</v>
      </c>
      <c r="C9" s="324">
        <f>-Investimenti!G7</f>
        <v>-5407753.2212252971</v>
      </c>
      <c r="D9" s="324">
        <f>-Investimenti!H7</f>
        <v>0</v>
      </c>
      <c r="E9" s="324">
        <f>-Investimenti!I7</f>
        <v>0</v>
      </c>
      <c r="F9" s="324">
        <f>-Investimenti!J7</f>
        <v>0</v>
      </c>
      <c r="G9" s="324">
        <f>-Investimenti!K7</f>
        <v>0</v>
      </c>
      <c r="H9" s="324">
        <f>-Investimenti!L7</f>
        <v>0</v>
      </c>
      <c r="I9" s="324">
        <f>-Investimenti!M7</f>
        <v>0</v>
      </c>
      <c r="J9" s="324">
        <f>-Investimenti!N7</f>
        <v>0</v>
      </c>
      <c r="K9" s="324">
        <f>-Investimenti!O7</f>
        <v>0</v>
      </c>
      <c r="L9" s="324">
        <f>-Investimenti!P7</f>
        <v>0</v>
      </c>
      <c r="M9" s="324">
        <f>-Investimenti!Q7</f>
        <v>0</v>
      </c>
      <c r="N9" s="324">
        <f>-Investimenti!R7</f>
        <v>0</v>
      </c>
      <c r="O9" s="324">
        <f>-Investimenti!S7</f>
        <v>0</v>
      </c>
      <c r="P9" s="324">
        <f>-Investimenti!T7</f>
        <v>0</v>
      </c>
      <c r="Q9" s="324">
        <f>-Investimenti!U7</f>
        <v>0</v>
      </c>
      <c r="R9" s="324">
        <f>-Investimenti!V7</f>
        <v>0</v>
      </c>
      <c r="S9" s="324">
        <f>-Investimenti!W7</f>
        <v>0</v>
      </c>
      <c r="T9" s="324">
        <f>-Investimenti!X7</f>
        <v>0</v>
      </c>
      <c r="U9" s="324">
        <f>-Investimenti!Y7</f>
        <v>0</v>
      </c>
      <c r="V9" s="324">
        <f>-Investimenti!Z7</f>
        <v>0</v>
      </c>
      <c r="W9" s="324">
        <f>-Investimenti!AA7</f>
        <v>0</v>
      </c>
      <c r="X9" s="324">
        <f>-Investimenti!AB7</f>
        <v>0</v>
      </c>
      <c r="Y9" s="324">
        <f>-Investimenti!AC7</f>
        <v>0</v>
      </c>
      <c r="Z9" s="324">
        <f>-Investimenti!AD7</f>
        <v>0</v>
      </c>
      <c r="AA9" s="324">
        <f>-Investimenti!AE7</f>
        <v>0</v>
      </c>
      <c r="AB9" s="324">
        <f>-Investimenti!AF7</f>
        <v>0</v>
      </c>
      <c r="AC9" s="324">
        <f>-Investimenti!AG7</f>
        <v>0</v>
      </c>
      <c r="AD9" s="324">
        <f>-Investimenti!AH7</f>
        <v>0</v>
      </c>
      <c r="AE9" s="324">
        <f>-Investimenti!AI7</f>
        <v>0</v>
      </c>
      <c r="AF9" s="324">
        <f>-Investimenti!AJ7</f>
        <v>0</v>
      </c>
      <c r="AG9" s="324"/>
    </row>
    <row r="10" spans="2:33" x14ac:dyDescent="0.25">
      <c r="B10" s="325" t="s">
        <v>262</v>
      </c>
      <c r="C10" s="324">
        <f>-'CE CC opz1'!C91</f>
        <v>1082105.6532835755</v>
      </c>
      <c r="D10" s="324">
        <f>-'CE CC opz1'!D91</f>
        <v>-1177741.6025266466</v>
      </c>
      <c r="E10" s="324">
        <f>-'CE CC opz1'!E91</f>
        <v>-228.76729440531926</v>
      </c>
      <c r="F10" s="324">
        <f>-'CE CC opz1'!F91</f>
        <v>-231.08819181307626</v>
      </c>
      <c r="G10" s="324">
        <f>-'CE CC opz1'!G91</f>
        <v>-233.43296268422273</v>
      </c>
      <c r="H10" s="324">
        <f>-'CE CC opz1'!H91</f>
        <v>-235.80185904317477</v>
      </c>
      <c r="I10" s="324">
        <f>-'CE CC opz1'!I91</f>
        <v>-238.19513570025447</v>
      </c>
      <c r="J10" s="324">
        <f>-'CE CC opz1'!J91</f>
        <v>5775.8253058789123</v>
      </c>
      <c r="K10" s="324">
        <f>-'CE CC opz1'!K91</f>
        <v>-6259.4942194452306</v>
      </c>
      <c r="L10" s="324">
        <f>-'CE CC opz1'!L91</f>
        <v>-245.5238380561641</v>
      </c>
      <c r="M10" s="324">
        <f>-'CE CC opz1'!M91</f>
        <v>-248.01724090204516</v>
      </c>
      <c r="N10" s="324">
        <f>-'CE CC opz1'!N91</f>
        <v>-250.53634106565733</v>
      </c>
      <c r="O10" s="324">
        <f>-'CE CC opz1'!O91</f>
        <v>-253.08141078609333</v>
      </c>
      <c r="P10" s="324">
        <f>-'CE CC opz1'!P91</f>
        <v>5760.7856308345072</v>
      </c>
      <c r="Q10" s="324">
        <f>-'CE CC opz1'!Q91</f>
        <v>-6274.6889191921655</v>
      </c>
      <c r="R10" s="324">
        <f>-'CE CC opz1'!R91</f>
        <v>-260.87520531158953</v>
      </c>
      <c r="S10" s="324">
        <f>-'CE CC opz1'!S91</f>
        <v>-263.52693675132468</v>
      </c>
      <c r="T10" s="324">
        <f>-'CE CC opz1'!T91</f>
        <v>-266.20604509317491</v>
      </c>
      <c r="U10" s="324">
        <f>-'CE CC opz1'!U91</f>
        <v>-268.91282129795582</v>
      </c>
      <c r="V10" s="324">
        <f>-'CE CC opz1'!V91</f>
        <v>-271.64755957979651</v>
      </c>
      <c r="W10" s="324">
        <f>-'CE CC opz1'!W91</f>
        <v>-274.41055744586629</v>
      </c>
      <c r="X10" s="324">
        <f>-'CE CC opz1'!X91</f>
        <v>-277.20211573601409</v>
      </c>
      <c r="Y10" s="324">
        <f>-'CE CC opz1'!Y91</f>
        <v>-280.02253866335377</v>
      </c>
      <c r="Z10" s="324">
        <f>-'CE CC opz1'!Z91</f>
        <v>100960.76949933005</v>
      </c>
      <c r="AA10" s="324">
        <f>-'CE CC opz1'!AA91</f>
        <v>0</v>
      </c>
      <c r="AB10" s="324">
        <f>-'CE CC opz1'!AB91</f>
        <v>0</v>
      </c>
      <c r="AC10" s="324">
        <f>-'CE CC opz1'!AC91</f>
        <v>0</v>
      </c>
      <c r="AD10" s="324">
        <f>-'CE CC opz1'!AD91</f>
        <v>0</v>
      </c>
      <c r="AE10" s="324">
        <f>-'CE CC opz1'!AE91</f>
        <v>0</v>
      </c>
      <c r="AF10" s="324">
        <f>-'CE CC opz1'!AF91</f>
        <v>0</v>
      </c>
      <c r="AG10" s="324">
        <f>-'CE CC opz1'!AG91</f>
        <v>0</v>
      </c>
    </row>
    <row r="11" spans="2:33" s="428" customFormat="1" x14ac:dyDescent="0.25">
      <c r="B11" s="433" t="s">
        <v>263</v>
      </c>
      <c r="C11" s="434">
        <f>SUM(C6:C10)</f>
        <v>-4315512.9870184064</v>
      </c>
      <c r="D11" s="434">
        <f t="shared" ref="D11:AB11" si="4">SUM(D6:D10)</f>
        <v>-770480.75381038105</v>
      </c>
      <c r="E11" s="434">
        <f t="shared" si="4"/>
        <v>407836.73311425088</v>
      </c>
      <c r="F11" s="434">
        <f t="shared" si="4"/>
        <v>408647.2293760922</v>
      </c>
      <c r="G11" s="434">
        <f t="shared" si="4"/>
        <v>409465.95126499585</v>
      </c>
      <c r="H11" s="434">
        <f t="shared" si="4"/>
        <v>410292.98345052171</v>
      </c>
      <c r="I11" s="434">
        <f t="shared" si="4"/>
        <v>411128.41149719013</v>
      </c>
      <c r="J11" s="434">
        <f t="shared" si="4"/>
        <v>396448.76023056323</v>
      </c>
      <c r="K11" s="434">
        <f t="shared" si="4"/>
        <v>406808.36361028993</v>
      </c>
      <c r="L11" s="434">
        <f t="shared" si="4"/>
        <v>413685.94008272677</v>
      </c>
      <c r="M11" s="434">
        <f t="shared" si="4"/>
        <v>414555.82546792401</v>
      </c>
      <c r="N11" s="434">
        <f t="shared" si="4"/>
        <v>415434.54831249075</v>
      </c>
      <c r="O11" s="434">
        <f t="shared" si="4"/>
        <v>416322.19976313104</v>
      </c>
      <c r="P11" s="434">
        <f t="shared" si="4"/>
        <v>401695.31028962263</v>
      </c>
      <c r="Q11" s="434">
        <f t="shared" si="4"/>
        <v>412108.21955860808</v>
      </c>
      <c r="R11" s="434">
        <f t="shared" si="4"/>
        <v>419039.65178696951</v>
      </c>
      <c r="S11" s="434">
        <f t="shared" si="4"/>
        <v>419963.94862957962</v>
      </c>
      <c r="T11" s="434">
        <f t="shared" si="4"/>
        <v>420897.64453294087</v>
      </c>
      <c r="U11" s="434">
        <f t="shared" si="4"/>
        <v>421840.8366095071</v>
      </c>
      <c r="V11" s="434">
        <f t="shared" si="4"/>
        <v>422793.62300529372</v>
      </c>
      <c r="W11" s="434">
        <f t="shared" si="4"/>
        <v>424069.57885750174</v>
      </c>
      <c r="X11" s="434">
        <f t="shared" si="4"/>
        <v>425059.22389034461</v>
      </c>
      <c r="Y11" s="434">
        <f t="shared" si="4"/>
        <v>426058.93771205528</v>
      </c>
      <c r="Z11" s="434">
        <f t="shared" si="4"/>
        <v>100960.76949933005</v>
      </c>
      <c r="AA11" s="434">
        <f t="shared" si="4"/>
        <v>0</v>
      </c>
      <c r="AB11" s="434">
        <f t="shared" si="4"/>
        <v>0</v>
      </c>
      <c r="AC11" s="434">
        <f>SUM(AC6:AC10)</f>
        <v>0</v>
      </c>
      <c r="AD11" s="434">
        <f>SUM(AD6:AD10)</f>
        <v>0</v>
      </c>
      <c r="AE11" s="434">
        <f>SUM(AE6:AE10)</f>
        <v>0</v>
      </c>
      <c r="AF11" s="434">
        <f>SUM(AF6:AF10)</f>
        <v>0</v>
      </c>
      <c r="AG11" s="434">
        <f>SUM(AG6:AG10)</f>
        <v>0</v>
      </c>
    </row>
    <row r="12" spans="2:33" s="428" customFormat="1" x14ac:dyDescent="0.25">
      <c r="B12" s="433" t="s">
        <v>264</v>
      </c>
      <c r="C12" s="434">
        <f>C11/((1+$C$14)^(C5-1))</f>
        <v>-4315512.9870184064</v>
      </c>
      <c r="D12" s="434">
        <f t="shared" ref="D12:AE12" si="5">D11/((1+$C$14)^(D5-1))</f>
        <v>-733930.99048426468</v>
      </c>
      <c r="E12" s="434">
        <f t="shared" si="5"/>
        <v>370060.90148792719</v>
      </c>
      <c r="F12" s="434">
        <f t="shared" si="5"/>
        <v>353206.63519193279</v>
      </c>
      <c r="G12" s="434">
        <f t="shared" si="5"/>
        <v>337125.43554489373</v>
      </c>
      <c r="H12" s="434">
        <f t="shared" si="5"/>
        <v>321781.63042360113</v>
      </c>
      <c r="I12" s="434">
        <f t="shared" si="5"/>
        <v>307141.20206137438</v>
      </c>
      <c r="J12" s="434">
        <f t="shared" si="5"/>
        <v>282124.68360999343</v>
      </c>
      <c r="K12" s="434">
        <f t="shared" si="5"/>
        <v>275763.8448326473</v>
      </c>
      <c r="L12" s="434">
        <f t="shared" si="5"/>
        <v>267123.22227454942</v>
      </c>
      <c r="M12" s="434">
        <f t="shared" si="5"/>
        <v>254986.58823353273</v>
      </c>
      <c r="N12" s="434">
        <f t="shared" si="5"/>
        <v>243405.48338101612</v>
      </c>
      <c r="O12" s="434">
        <f t="shared" si="5"/>
        <v>232354.31839827288</v>
      </c>
      <c r="P12" s="434">
        <f t="shared" si="5"/>
        <v>213555.80041328803</v>
      </c>
      <c r="Q12" s="434">
        <f t="shared" si="5"/>
        <v>208698.49567529661</v>
      </c>
      <c r="R12" s="434">
        <f t="shared" si="5"/>
        <v>202142.01647654435</v>
      </c>
      <c r="S12" s="434">
        <f t="shared" si="5"/>
        <v>192977.6064892619</v>
      </c>
      <c r="T12" s="434">
        <f t="shared" si="5"/>
        <v>184231.90039300258</v>
      </c>
      <c r="U12" s="434">
        <f t="shared" si="5"/>
        <v>175885.6418103833</v>
      </c>
      <c r="V12" s="434">
        <f t="shared" si="5"/>
        <v>167920.46492340695</v>
      </c>
      <c r="W12" s="434">
        <f t="shared" si="5"/>
        <v>160437.44986252781</v>
      </c>
      <c r="X12" s="434">
        <f t="shared" si="5"/>
        <v>153183.33055351002</v>
      </c>
      <c r="Y12" s="434">
        <f t="shared" si="5"/>
        <v>146259.867181393</v>
      </c>
      <c r="Z12" s="434">
        <f t="shared" si="5"/>
        <v>33014.260825920916</v>
      </c>
      <c r="AA12" s="434">
        <f t="shared" si="5"/>
        <v>0</v>
      </c>
      <c r="AB12" s="434">
        <f t="shared" si="5"/>
        <v>0</v>
      </c>
      <c r="AC12" s="434">
        <f t="shared" si="5"/>
        <v>0</v>
      </c>
      <c r="AD12" s="434">
        <f t="shared" si="5"/>
        <v>0</v>
      </c>
      <c r="AE12" s="434">
        <f t="shared" si="5"/>
        <v>0</v>
      </c>
      <c r="AF12" s="434">
        <f t="shared" ref="AF12" si="6">AF11/((1+$C$14)^(AF5-1))</f>
        <v>0</v>
      </c>
      <c r="AG12" s="434">
        <f>AG11/((1+$C$14)^(AG5-1))</f>
        <v>0</v>
      </c>
    </row>
    <row r="13" spans="2:33" x14ac:dyDescent="0.25">
      <c r="B13" s="130"/>
      <c r="C13" s="335"/>
      <c r="D13" s="335"/>
      <c r="E13" s="335"/>
      <c r="F13" s="335"/>
      <c r="G13" s="335"/>
      <c r="H13" s="335"/>
      <c r="I13" s="335"/>
      <c r="J13" s="335"/>
      <c r="K13" s="335"/>
      <c r="L13" s="335"/>
      <c r="M13" s="335"/>
      <c r="N13" s="335"/>
      <c r="O13" s="335"/>
      <c r="P13" s="335"/>
      <c r="Q13" s="335"/>
      <c r="R13" s="335"/>
      <c r="S13" s="335"/>
      <c r="T13" s="335"/>
      <c r="U13" s="335"/>
      <c r="V13" s="335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</row>
    <row r="14" spans="2:33" x14ac:dyDescent="0.25">
      <c r="B14" s="131" t="s">
        <v>47</v>
      </c>
      <c r="C14" s="214">
        <f>IN!C44</f>
        <v>4.9799999999999997E-2</v>
      </c>
      <c r="D14" s="99"/>
      <c r="E14" s="113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</row>
    <row r="15" spans="2:33" x14ac:dyDescent="0.25">
      <c r="B15" s="131" t="s">
        <v>15</v>
      </c>
      <c r="C15" s="215">
        <f>C11+NPV(C14,D11:AG11)</f>
        <v>33936.802541605197</v>
      </c>
      <c r="D15" s="216"/>
      <c r="E15" s="217"/>
      <c r="F15" s="218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</row>
    <row r="16" spans="2:33" x14ac:dyDescent="0.25">
      <c r="B16" s="131" t="s">
        <v>17</v>
      </c>
      <c r="C16" s="214">
        <f>IRR(C11:AG11,0.1%)</f>
        <v>5.0486187016911988E-2</v>
      </c>
      <c r="D16" s="219"/>
      <c r="E16" s="217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</row>
    <row r="17" spans="2:34" x14ac:dyDescent="0.25">
      <c r="B17" s="130"/>
      <c r="C17" s="278"/>
      <c r="D17" s="219"/>
      <c r="E17" s="217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</row>
    <row r="18" spans="2:34" x14ac:dyDescent="0.25">
      <c r="B18" s="130"/>
      <c r="C18" s="278"/>
      <c r="D18" s="219"/>
      <c r="E18" s="217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</row>
    <row r="19" spans="2:34" ht="23.25" x14ac:dyDescent="0.35">
      <c r="B19" s="175" t="s">
        <v>265</v>
      </c>
      <c r="C19" s="175"/>
      <c r="D19" s="175"/>
      <c r="E19" s="175"/>
      <c r="F19" s="175"/>
      <c r="G19" s="175"/>
      <c r="H19" s="175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99"/>
    </row>
    <row r="20" spans="2:34" x14ac:dyDescent="0.25">
      <c r="B20" s="334" t="s">
        <v>206</v>
      </c>
      <c r="C20" s="278"/>
      <c r="D20" s="219"/>
      <c r="E20" s="217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99"/>
      <c r="AG20" s="99"/>
    </row>
    <row r="21" spans="2:34" x14ac:dyDescent="0.25">
      <c r="B21" s="803" t="s">
        <v>143</v>
      </c>
      <c r="C21" s="467" t="s">
        <v>329</v>
      </c>
      <c r="D21" s="467" t="s">
        <v>330</v>
      </c>
      <c r="E21" s="467" t="s">
        <v>331</v>
      </c>
      <c r="F21" s="467" t="s">
        <v>332</v>
      </c>
      <c r="G21" s="467" t="s">
        <v>333</v>
      </c>
      <c r="H21" s="467" t="s">
        <v>334</v>
      </c>
      <c r="I21" s="467" t="s">
        <v>335</v>
      </c>
      <c r="J21" s="467" t="s">
        <v>336</v>
      </c>
      <c r="K21" s="467" t="s">
        <v>337</v>
      </c>
      <c r="L21" s="467" t="s">
        <v>338</v>
      </c>
      <c r="M21" s="467" t="s">
        <v>339</v>
      </c>
      <c r="N21" s="467" t="s">
        <v>340</v>
      </c>
      <c r="O21" s="467" t="s">
        <v>341</v>
      </c>
      <c r="P21" s="467" t="s">
        <v>342</v>
      </c>
      <c r="Q21" s="467" t="s">
        <v>343</v>
      </c>
      <c r="R21" s="467" t="s">
        <v>344</v>
      </c>
      <c r="S21" s="467" t="s">
        <v>345</v>
      </c>
      <c r="T21" s="467" t="s">
        <v>346</v>
      </c>
      <c r="U21" s="467" t="s">
        <v>347</v>
      </c>
      <c r="V21" s="467" t="s">
        <v>348</v>
      </c>
      <c r="W21" s="467" t="s">
        <v>349</v>
      </c>
      <c r="X21" s="467" t="s">
        <v>350</v>
      </c>
      <c r="Y21" s="467" t="s">
        <v>351</v>
      </c>
      <c r="Z21" s="212" t="e">
        <f t="shared" ref="E21:AE21" si="7">Y21+1</f>
        <v>#VALUE!</v>
      </c>
      <c r="AA21" s="212" t="e">
        <f t="shared" si="7"/>
        <v>#VALUE!</v>
      </c>
      <c r="AB21" s="212" t="e">
        <f t="shared" si="7"/>
        <v>#VALUE!</v>
      </c>
      <c r="AC21" s="212" t="e">
        <f t="shared" si="7"/>
        <v>#VALUE!</v>
      </c>
      <c r="AD21" s="212" t="e">
        <f t="shared" si="7"/>
        <v>#VALUE!</v>
      </c>
      <c r="AE21" s="212" t="e">
        <f t="shared" si="7"/>
        <v>#VALUE!</v>
      </c>
      <c r="AF21" s="212" t="e">
        <f t="shared" ref="AF21:AF22" si="8">AE21+1</f>
        <v>#VALUE!</v>
      </c>
      <c r="AG21" s="212" t="e">
        <f t="shared" ref="AG21:AG22" si="9">AF21+1</f>
        <v>#VALUE!</v>
      </c>
    </row>
    <row r="22" spans="2:34" x14ac:dyDescent="0.25">
      <c r="B22" s="804"/>
      <c r="C22" s="211">
        <v>1</v>
      </c>
      <c r="D22" s="212">
        <f>C22+1</f>
        <v>2</v>
      </c>
      <c r="E22" s="212">
        <f>D22+1</f>
        <v>3</v>
      </c>
      <c r="F22" s="212">
        <f t="shared" ref="F22:AE22" si="10">E22+1</f>
        <v>4</v>
      </c>
      <c r="G22" s="212">
        <f t="shared" si="10"/>
        <v>5</v>
      </c>
      <c r="H22" s="212">
        <f t="shared" si="10"/>
        <v>6</v>
      </c>
      <c r="I22" s="212">
        <f t="shared" si="10"/>
        <v>7</v>
      </c>
      <c r="J22" s="212">
        <f t="shared" si="10"/>
        <v>8</v>
      </c>
      <c r="K22" s="212">
        <f t="shared" si="10"/>
        <v>9</v>
      </c>
      <c r="L22" s="212">
        <f t="shared" si="10"/>
        <v>10</v>
      </c>
      <c r="M22" s="212">
        <f t="shared" si="10"/>
        <v>11</v>
      </c>
      <c r="N22" s="212">
        <f t="shared" si="10"/>
        <v>12</v>
      </c>
      <c r="O22" s="212">
        <f t="shared" si="10"/>
        <v>13</v>
      </c>
      <c r="P22" s="212">
        <f t="shared" si="10"/>
        <v>14</v>
      </c>
      <c r="Q22" s="212">
        <f t="shared" si="10"/>
        <v>15</v>
      </c>
      <c r="R22" s="212">
        <f t="shared" si="10"/>
        <v>16</v>
      </c>
      <c r="S22" s="212">
        <f t="shared" si="10"/>
        <v>17</v>
      </c>
      <c r="T22" s="212">
        <f t="shared" si="10"/>
        <v>18</v>
      </c>
      <c r="U22" s="212">
        <f t="shared" si="10"/>
        <v>19</v>
      </c>
      <c r="V22" s="212">
        <f t="shared" si="10"/>
        <v>20</v>
      </c>
      <c r="W22" s="212">
        <f t="shared" si="10"/>
        <v>21</v>
      </c>
      <c r="X22" s="212">
        <f t="shared" si="10"/>
        <v>22</v>
      </c>
      <c r="Y22" s="212">
        <f t="shared" si="10"/>
        <v>23</v>
      </c>
      <c r="Z22" s="212">
        <f t="shared" si="10"/>
        <v>24</v>
      </c>
      <c r="AA22" s="212">
        <f t="shared" si="10"/>
        <v>25</v>
      </c>
      <c r="AB22" s="212">
        <f t="shared" si="10"/>
        <v>26</v>
      </c>
      <c r="AC22" s="212">
        <f t="shared" si="10"/>
        <v>27</v>
      </c>
      <c r="AD22" s="212">
        <f t="shared" si="10"/>
        <v>28</v>
      </c>
      <c r="AE22" s="212">
        <f t="shared" si="10"/>
        <v>29</v>
      </c>
      <c r="AF22" s="212">
        <f t="shared" si="8"/>
        <v>30</v>
      </c>
      <c r="AG22" s="212">
        <f t="shared" si="9"/>
        <v>31</v>
      </c>
    </row>
    <row r="23" spans="2:34" x14ac:dyDescent="0.25">
      <c r="B23" s="322" t="s">
        <v>258</v>
      </c>
      <c r="C23" s="324">
        <f>'CE CC opz1'!C40</f>
        <v>-224985.12434734972</v>
      </c>
      <c r="D23" s="324">
        <f>'CE CC opz1'!D40</f>
        <v>239861.56852585022</v>
      </c>
      <c r="E23" s="324">
        <f>'CE CC opz1'!E40</f>
        <v>240983.36005781431</v>
      </c>
      <c r="F23" s="324">
        <f>'CE CC opz1'!F40</f>
        <v>242116.5351735306</v>
      </c>
      <c r="G23" s="324">
        <f>'CE CC opz1'!G40</f>
        <v>243261.21102220521</v>
      </c>
      <c r="H23" s="324">
        <f>'CE CC opz1'!H40</f>
        <v>244417.5059908042</v>
      </c>
      <c r="I23" s="324">
        <f>'CE CC opz1'!I40</f>
        <v>245585.53971775479</v>
      </c>
      <c r="J23" s="324">
        <f>'CE CC opz1'!J40</f>
        <v>216765.43310681483</v>
      </c>
      <c r="K23" s="324">
        <f>'CE CC opz1'!K40</f>
        <v>247957.30834110119</v>
      </c>
      <c r="L23" s="324">
        <f>'CE CC opz1'!L40</f>
        <v>249161.28889729359</v>
      </c>
      <c r="M23" s="324">
        <f>'CE CC opz1'!M40</f>
        <v>250377.49956000186</v>
      </c>
      <c r="N23" s="324">
        <f>'CE CC opz1'!N40</f>
        <v>251606.06643631044</v>
      </c>
      <c r="O23" s="324">
        <f>'CE CC opz1'!O40</f>
        <v>252847.116970495</v>
      </c>
      <c r="P23" s="324">
        <f>'CE CC opz1'!P40</f>
        <v>224100.77995891645</v>
      </c>
      <c r="Q23" s="324">
        <f>'CE CC opz1'!Q40</f>
        <v>255367.18556509467</v>
      </c>
      <c r="R23" s="324">
        <f>'CE CC opz1'!R40</f>
        <v>256646.46533496495</v>
      </c>
      <c r="S23" s="324">
        <f>'CE CC opz1'!S40</f>
        <v>257938.75221231699</v>
      </c>
      <c r="T23" s="324">
        <f>'CE CC opz1'!T40</f>
        <v>259244.1805544213</v>
      </c>
      <c r="U23" s="324">
        <f>'CE CC opz1'!U40</f>
        <v>260562.88614784469</v>
      </c>
      <c r="V23" s="324">
        <f>'CE CC opz1'!V40</f>
        <v>261895.00622445837</v>
      </c>
      <c r="W23" s="324">
        <f>'CE CC opz1'!W40</f>
        <v>263653.1478276914</v>
      </c>
      <c r="X23" s="324">
        <f>'CE CC opz1'!X40</f>
        <v>265035.37149222218</v>
      </c>
      <c r="Y23" s="324">
        <f>'CE CC opz1'!Y40</f>
        <v>266431.65874102165</v>
      </c>
      <c r="Z23" s="324">
        <f>'CE CC opz1'!Z40</f>
        <v>0</v>
      </c>
      <c r="AA23" s="324">
        <f>'CE CC opz1'!AA40</f>
        <v>0</v>
      </c>
      <c r="AB23" s="324">
        <f>'CE CC opz1'!AB40</f>
        <v>0</v>
      </c>
      <c r="AC23" s="324">
        <f>'CE CC opz1'!AC40</f>
        <v>0</v>
      </c>
      <c r="AD23" s="324">
        <f>'CE CC opz1'!AD40</f>
        <v>0</v>
      </c>
      <c r="AE23" s="324">
        <f>'CE CC opz1'!AE40</f>
        <v>0</v>
      </c>
      <c r="AF23" s="324">
        <f>'CE CC opz1'!AF40</f>
        <v>0</v>
      </c>
      <c r="AG23" s="324"/>
    </row>
    <row r="24" spans="2:34" x14ac:dyDescent="0.25">
      <c r="B24" s="322" t="s">
        <v>259</v>
      </c>
      <c r="C24" s="324">
        <f>'CE CC opz1'!C39</f>
        <v>235119.70527066509</v>
      </c>
      <c r="D24" s="324">
        <f>'CE CC opz1'!D39</f>
        <v>235119.70527066509</v>
      </c>
      <c r="E24" s="324">
        <f>'CE CC opz1'!E39</f>
        <v>235119.70527066509</v>
      </c>
      <c r="F24" s="324">
        <f>'CE CC opz1'!F39</f>
        <v>235119.70527066509</v>
      </c>
      <c r="G24" s="324">
        <f>'CE CC opz1'!G39</f>
        <v>235119.70527066509</v>
      </c>
      <c r="H24" s="324">
        <f>'CE CC opz1'!H39</f>
        <v>235119.70527066509</v>
      </c>
      <c r="I24" s="324">
        <f>'CE CC opz1'!I39</f>
        <v>235119.70527066509</v>
      </c>
      <c r="J24" s="324">
        <f>'CE CC opz1'!J39</f>
        <v>235119.70527066509</v>
      </c>
      <c r="K24" s="324">
        <f>'CE CC opz1'!K39</f>
        <v>235119.70527066509</v>
      </c>
      <c r="L24" s="324">
        <f>'CE CC opz1'!L39</f>
        <v>235119.70527066509</v>
      </c>
      <c r="M24" s="324">
        <f>'CE CC opz1'!M39</f>
        <v>235119.70527066509</v>
      </c>
      <c r="N24" s="324">
        <f>'CE CC opz1'!N39</f>
        <v>235119.70527066509</v>
      </c>
      <c r="O24" s="324">
        <f>'CE CC opz1'!O39</f>
        <v>235119.70527066509</v>
      </c>
      <c r="P24" s="324">
        <f>'CE CC opz1'!P39</f>
        <v>235119.70527066509</v>
      </c>
      <c r="Q24" s="324">
        <f>'CE CC opz1'!Q39</f>
        <v>235119.70527066509</v>
      </c>
      <c r="R24" s="324">
        <f>'CE CC opz1'!R39</f>
        <v>235119.70527066509</v>
      </c>
      <c r="S24" s="324">
        <f>'CE CC opz1'!S39</f>
        <v>235119.70527066509</v>
      </c>
      <c r="T24" s="324">
        <f>'CE CC opz1'!T39</f>
        <v>235119.70527066509</v>
      </c>
      <c r="U24" s="324">
        <f>'CE CC opz1'!U39</f>
        <v>235119.70527066509</v>
      </c>
      <c r="V24" s="324">
        <f>'CE CC opz1'!V39</f>
        <v>235119.70527066509</v>
      </c>
      <c r="W24" s="324">
        <f>'CE CC opz1'!W39</f>
        <v>235119.70527066509</v>
      </c>
      <c r="X24" s="324">
        <f>'CE CC opz1'!X39</f>
        <v>235119.70527066509</v>
      </c>
      <c r="Y24" s="324">
        <f>'CE CC opz1'!Y39</f>
        <v>235119.70527066509</v>
      </c>
      <c r="Z24" s="324">
        <f>'CE CC opz1'!Z39</f>
        <v>0</v>
      </c>
      <c r="AA24" s="324">
        <f>'CE CC opz1'!AA39</f>
        <v>0</v>
      </c>
      <c r="AB24" s="324">
        <f>'CE CC opz1'!AB39</f>
        <v>0</v>
      </c>
      <c r="AC24" s="324">
        <f>'CE CC opz1'!AC39</f>
        <v>0</v>
      </c>
      <c r="AD24" s="324">
        <f>'CE CC opz1'!AD39</f>
        <v>0</v>
      </c>
      <c r="AE24" s="324">
        <f>'CE CC opz1'!AE39</f>
        <v>0</v>
      </c>
      <c r="AF24" s="324">
        <f>'CE CC opz1'!AF39</f>
        <v>0</v>
      </c>
      <c r="AG24" s="324"/>
    </row>
    <row r="25" spans="2:34" x14ac:dyDescent="0.25">
      <c r="B25" s="322" t="s">
        <v>266</v>
      </c>
      <c r="C25" s="324">
        <f>IF(C22&lt;=IN!$C$47,('CE CC opz1'!C45+'CE CC opz1'!C46)*-1,0)</f>
        <v>71478.770200233834</v>
      </c>
      <c r="D25" s="324">
        <f>IF(D22&lt;=IN!$C$47,('CE CC opz1'!D45+'CE CC opz1'!D46)*-1,0)</f>
        <v>-50790.418085313824</v>
      </c>
      <c r="E25" s="324">
        <f>IF(E22&lt;=IN!$C$47,('CE CC opz1'!E45+'CE CC opz1'!E46)*-1,0)</f>
        <v>-51675.30138761922</v>
      </c>
      <c r="F25" s="324">
        <f>IF(F22&lt;=IN!$C$47,('CE CC opz1'!F45+'CE CC opz1'!F46)*-1,0)</f>
        <v>-52579.24284942857</v>
      </c>
      <c r="G25" s="324">
        <f>IF(G22&lt;=IN!$C$47,('CE CC opz1'!G45+'CE CC opz1'!G46)*-1,0)</f>
        <v>-53502.717523469561</v>
      </c>
      <c r="H25" s="324">
        <f>IF(H22&lt;=IN!$C$47,('CE CC opz1'!H45+'CE CC opz1'!H46)*-1,0)</f>
        <v>-54446.213142360386</v>
      </c>
      <c r="I25" s="324">
        <f>IF(I22&lt;=IN!$C$47,('CE CC opz1'!I45+'CE CC opz1'!I46)*-1,0)</f>
        <v>-55410.230466489789</v>
      </c>
      <c r="J25" s="324">
        <f>IF(J22&lt;=IN!$C$47,('CE CC opz1'!J45+'CE CC opz1'!J46)*-1,0)</f>
        <v>-47935.283641542381</v>
      </c>
      <c r="K25" s="324">
        <f>IF(K22&lt;=IN!$C$47,('CE CC opz1'!K45+'CE CC opz1'!K46)*-1,0)</f>
        <v>-57401.900565934564</v>
      </c>
      <c r="L25" s="324">
        <f>IF(L22&lt;=IN!$C$47,('CE CC opz1'!L45+'CE CC opz1'!L46)*-1,0)</f>
        <v>-58430.623268440781</v>
      </c>
      <c r="M25" s="324">
        <f>IF(M22&lt;=IN!$C$47,('CE CC opz1'!M45+'CE CC opz1'!M46)*-1,0)</f>
        <v>-59482.00829628983</v>
      </c>
      <c r="N25" s="324">
        <f>IF(N22&lt;=IN!$C$47,('CE CC opz1'!N45+'CE CC opz1'!N46)*-1,0)</f>
        <v>-60556.627114025818</v>
      </c>
      <c r="O25" s="324">
        <f>IF(O22&lt;=IN!$C$47,('CE CC opz1'!O45+'CE CC opz1'!O46)*-1,0)</f>
        <v>-61655.066513431229</v>
      </c>
      <c r="P25" s="324">
        <f>IF(P22&lt;=IN!$C$47,('CE CC opz1'!P45+'CE CC opz1'!P46)*-1,0)</f>
        <v>-54317.92903482102</v>
      </c>
      <c r="Q25" s="324">
        <f>IF(Q22&lt;=IN!$C$47,('CE CC opz1'!Q45+'CE CC opz1'!Q46)*-1,0)</f>
        <v>-63925.833400024079</v>
      </c>
      <c r="R25" s="324">
        <f>IF(R22&lt;=IN!$C$47,('CE CC opz1'!R45+'CE CC opz1'!R46)*-1,0)</f>
        <v>-65099.414957377769</v>
      </c>
      <c r="S25" s="324">
        <f>IF(S22&lt;=IN!$C$47,('CE CC opz1'!S45+'CE CC opz1'!S46)*-1,0)</f>
        <v>-66299.326139068988</v>
      </c>
      <c r="T25" s="324">
        <f>IF(T22&lt;=IN!$C$47,('CE CC opz1'!T45+'CE CC opz1'!T46)*-1,0)</f>
        <v>-67526.236931166277</v>
      </c>
      <c r="U25" s="324">
        <f>IF(U22&lt;=IN!$C$47,('CE CC opz1'!U45+'CE CC opz1'!U46)*-1,0)</f>
        <v>-68780.83535669616</v>
      </c>
      <c r="V25" s="324">
        <f>IF(V22&lt;=IN!$C$47,('CE CC opz1'!V45+'CE CC opz1'!V46)*-1,0)</f>
        <v>-70063.827972126834</v>
      </c>
      <c r="W25" s="324">
        <f>IF(W22&lt;=IN!$C$47,('CE CC opz1'!W45+'CE CC opz1'!W46)*-1,0)</f>
        <v>-71474.932781644908</v>
      </c>
      <c r="X25" s="324">
        <f>IF(X22&lt;=IN!$C$47,('CE CC opz1'!X45+'CE CC opz1'!X46)*-1,0)</f>
        <v>-72822.395840774014</v>
      </c>
      <c r="Y25" s="324">
        <f>IF(Y22&lt;=IN!$C$47,('CE CC opz1'!Y45+'CE CC opz1'!Y46)*-1,0)</f>
        <v>-74200.543990668797</v>
      </c>
      <c r="Z25" s="324">
        <f>IF(Z22&lt;=IN!$C$47,('CE CC opz1'!Z45+'CE CC opz1'!Z46)*-1,0)</f>
        <v>0</v>
      </c>
      <c r="AA25" s="324">
        <f>IF(AA22&lt;=IN!$C$47,('CE CC opz1'!AA45+'CE CC opz1'!AA46)*-1,0)</f>
        <v>0</v>
      </c>
      <c r="AB25" s="324">
        <f>IF(AB22&lt;=IN!$C$47,('CE CC opz1'!AB45+'CE CC opz1'!AB46)*-1,0)</f>
        <v>0</v>
      </c>
      <c r="AC25" s="324">
        <f>IF(AC22&lt;=IN!$C$47,('CE CC opz1'!AC45+'CE CC opz1'!AC46)*-1,0)</f>
        <v>0</v>
      </c>
      <c r="AD25" s="324">
        <f>IF(AD22&lt;=IN!$C$47,('CE CC opz1'!AD45+'CE CC opz1'!AD46)*-1,0)</f>
        <v>0</v>
      </c>
      <c r="AE25" s="324">
        <f>IF(AE22&lt;=IN!$C$47,('CE CC opz1'!AE45+'CE CC opz1'!AE46)*-1,0)</f>
        <v>0</v>
      </c>
      <c r="AF25" s="324">
        <f>IF(AF22&lt;=IN!$C$47,('CE CC opz1'!AF45+'CE CC opz1'!AF46)*-1,0)</f>
        <v>0</v>
      </c>
      <c r="AG25" s="324">
        <f>IF(AG22&lt;=IN!$C$47,('CE CC opz1'!AG45+'CE CC opz1'!AG46)*-1,0)</f>
        <v>0</v>
      </c>
      <c r="AH25" s="323"/>
    </row>
    <row r="26" spans="2:34" x14ac:dyDescent="0.25">
      <c r="B26" s="325" t="s">
        <v>261</v>
      </c>
      <c r="C26" s="324">
        <f>-Investimenti!G7</f>
        <v>-5407753.2212252971</v>
      </c>
      <c r="D26" s="324">
        <f>-Investimenti!H7</f>
        <v>0</v>
      </c>
      <c r="E26" s="324">
        <f>-Investimenti!I7</f>
        <v>0</v>
      </c>
      <c r="F26" s="324">
        <f>-Investimenti!J7</f>
        <v>0</v>
      </c>
      <c r="G26" s="324">
        <f>-Investimenti!K7</f>
        <v>0</v>
      </c>
      <c r="H26" s="324">
        <f>-Investimenti!L7</f>
        <v>0</v>
      </c>
      <c r="I26" s="324">
        <f>-Investimenti!M7</f>
        <v>0</v>
      </c>
      <c r="J26" s="324">
        <f>-Investimenti!N7</f>
        <v>0</v>
      </c>
      <c r="K26" s="324">
        <f>-Investimenti!O7</f>
        <v>0</v>
      </c>
      <c r="L26" s="324">
        <f>-Investimenti!P7</f>
        <v>0</v>
      </c>
      <c r="M26" s="324">
        <f>-Investimenti!Q7</f>
        <v>0</v>
      </c>
      <c r="N26" s="324">
        <f>-Investimenti!R7</f>
        <v>0</v>
      </c>
      <c r="O26" s="324">
        <f>-Investimenti!S7</f>
        <v>0</v>
      </c>
      <c r="P26" s="324">
        <f>-Investimenti!T7</f>
        <v>0</v>
      </c>
      <c r="Q26" s="324">
        <f>-Investimenti!U7</f>
        <v>0</v>
      </c>
      <c r="R26" s="324">
        <f>-Investimenti!V7</f>
        <v>0</v>
      </c>
      <c r="S26" s="324">
        <f>-Investimenti!W7</f>
        <v>0</v>
      </c>
      <c r="T26" s="324">
        <f>-Investimenti!X7</f>
        <v>0</v>
      </c>
      <c r="U26" s="324">
        <f>-Investimenti!Y7</f>
        <v>0</v>
      </c>
      <c r="V26" s="324">
        <f>-Investimenti!Z7</f>
        <v>0</v>
      </c>
      <c r="W26" s="324">
        <f>-Investimenti!AA7</f>
        <v>0</v>
      </c>
      <c r="X26" s="324">
        <f>-Investimenti!AB7</f>
        <v>0</v>
      </c>
      <c r="Y26" s="324">
        <f>-Investimenti!AC7</f>
        <v>0</v>
      </c>
      <c r="Z26" s="324">
        <f>-Investimenti!AD7</f>
        <v>0</v>
      </c>
      <c r="AA26" s="324">
        <f>-Investimenti!AE7</f>
        <v>0</v>
      </c>
      <c r="AB26" s="324">
        <f>-Investimenti!AF7</f>
        <v>0</v>
      </c>
      <c r="AC26" s="324">
        <f>-Investimenti!AG7</f>
        <v>0</v>
      </c>
      <c r="AD26" s="324">
        <f>-Investimenti!AH7</f>
        <v>0</v>
      </c>
      <c r="AE26" s="324">
        <f>-Investimenti!AI7</f>
        <v>0</v>
      </c>
      <c r="AF26" s="324">
        <f>-Investimenti!AJ7</f>
        <v>0</v>
      </c>
      <c r="AG26" s="324"/>
    </row>
    <row r="27" spans="2:34" x14ac:dyDescent="0.25">
      <c r="B27" s="325" t="s">
        <v>262</v>
      </c>
      <c r="C27" s="324">
        <f>-'CE CC opz1'!C91</f>
        <v>1082105.6532835755</v>
      </c>
      <c r="D27" s="324">
        <f>-'CE CC opz1'!D91</f>
        <v>-1177741.6025266466</v>
      </c>
      <c r="E27" s="324">
        <f>-'CE CC opz1'!E91</f>
        <v>-228.76729440531926</v>
      </c>
      <c r="F27" s="324">
        <f>-'CE CC opz1'!F91</f>
        <v>-231.08819181307626</v>
      </c>
      <c r="G27" s="324">
        <f>-'CE CC opz1'!G91</f>
        <v>-233.43296268422273</v>
      </c>
      <c r="H27" s="324">
        <f>-'CE CC opz1'!H91</f>
        <v>-235.80185904317477</v>
      </c>
      <c r="I27" s="324">
        <f>-'CE CC opz1'!I91</f>
        <v>-238.19513570025447</v>
      </c>
      <c r="J27" s="324">
        <f>-'CE CC opz1'!J91</f>
        <v>5775.8253058789123</v>
      </c>
      <c r="K27" s="324">
        <f>-'CE CC opz1'!K91</f>
        <v>-6259.4942194452306</v>
      </c>
      <c r="L27" s="324">
        <f>-'CE CC opz1'!L91</f>
        <v>-245.5238380561641</v>
      </c>
      <c r="M27" s="324">
        <f>-'CE CC opz1'!M91</f>
        <v>-248.01724090204516</v>
      </c>
      <c r="N27" s="324">
        <f>-'CE CC opz1'!N91</f>
        <v>-250.53634106565733</v>
      </c>
      <c r="O27" s="324">
        <f>-'CE CC opz1'!O91</f>
        <v>-253.08141078609333</v>
      </c>
      <c r="P27" s="324">
        <f>-'CE CC opz1'!P91</f>
        <v>5760.7856308345072</v>
      </c>
      <c r="Q27" s="324">
        <f>-'CE CC opz1'!Q91</f>
        <v>-6274.6889191921655</v>
      </c>
      <c r="R27" s="324">
        <f>-'CE CC opz1'!R91</f>
        <v>-260.87520531158953</v>
      </c>
      <c r="S27" s="324">
        <f>-'CE CC opz1'!S91</f>
        <v>-263.52693675132468</v>
      </c>
      <c r="T27" s="324">
        <f>-'CE CC opz1'!T91</f>
        <v>-266.20604509317491</v>
      </c>
      <c r="U27" s="324">
        <f>-'CE CC opz1'!U91</f>
        <v>-268.91282129795582</v>
      </c>
      <c r="V27" s="324">
        <f>-'CE CC opz1'!V91</f>
        <v>-271.64755957979651</v>
      </c>
      <c r="W27" s="324">
        <f>-'CE CC opz1'!W91</f>
        <v>-274.41055744586629</v>
      </c>
      <c r="X27" s="324">
        <f>-'CE CC opz1'!X91</f>
        <v>-277.20211573601409</v>
      </c>
      <c r="Y27" s="324">
        <f>-'CE CC opz1'!Y91</f>
        <v>-280.02253866335377</v>
      </c>
      <c r="Z27" s="324">
        <f>-'CE CC opz1'!Z91</f>
        <v>100960.76949933005</v>
      </c>
      <c r="AA27" s="324">
        <f>-'CE CC opz1'!AA91</f>
        <v>0</v>
      </c>
      <c r="AB27" s="324">
        <f>-'CE CC opz1'!AB91</f>
        <v>0</v>
      </c>
      <c r="AC27" s="324">
        <f>-'CE CC opz1'!AC91</f>
        <v>0</v>
      </c>
      <c r="AD27" s="324">
        <f>-'CE CC opz1'!AD91</f>
        <v>0</v>
      </c>
      <c r="AE27" s="324">
        <f>-'CE CC opz1'!AE91</f>
        <v>0</v>
      </c>
      <c r="AF27" s="324">
        <f>-'CE CC opz1'!AF91</f>
        <v>0</v>
      </c>
      <c r="AG27" s="324">
        <f>-'CE CC opz1'!AG91</f>
        <v>0</v>
      </c>
    </row>
    <row r="28" spans="2:34" x14ac:dyDescent="0.25">
      <c r="B28" s="322" t="s">
        <v>267</v>
      </c>
      <c r="C28" s="324">
        <f>IN!Q52</f>
        <v>2610863.2552075735</v>
      </c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4"/>
      <c r="T28" s="324"/>
      <c r="U28" s="324"/>
      <c r="V28" s="324"/>
      <c r="W28" s="324"/>
      <c r="X28" s="324"/>
      <c r="Y28" s="324"/>
      <c r="Z28" s="324"/>
      <c r="AA28" s="324"/>
      <c r="AB28" s="324"/>
      <c r="AC28" s="324"/>
      <c r="AD28" s="324"/>
      <c r="AE28" s="324"/>
      <c r="AF28" s="324"/>
      <c r="AG28" s="324"/>
    </row>
    <row r="29" spans="2:34" x14ac:dyDescent="0.25">
      <c r="B29" s="322" t="s">
        <v>268</v>
      </c>
      <c r="C29" s="324">
        <f>IN!O57*-1</f>
        <v>-155330.14604101612</v>
      </c>
      <c r="D29" s="324">
        <f>IN!O58*-1</f>
        <v>-155330.14604101612</v>
      </c>
      <c r="E29" s="324">
        <f>IN!O59*-1</f>
        <v>-155330.14604101612</v>
      </c>
      <c r="F29" s="324">
        <f>IN!O60*-1</f>
        <v>-155330.14604101612</v>
      </c>
      <c r="G29" s="324">
        <f>IN!O61*-1</f>
        <v>-155330.14604101612</v>
      </c>
      <c r="H29" s="324">
        <f>IN!O62*-1</f>
        <v>-155330.14604101612</v>
      </c>
      <c r="I29" s="324">
        <f>IN!O63*-1</f>
        <v>-155330.14604101612</v>
      </c>
      <c r="J29" s="324">
        <f>IN!O64*-1</f>
        <v>-155330.14604101612</v>
      </c>
      <c r="K29" s="324">
        <f>IN!O65*-1</f>
        <v>-155330.14604101612</v>
      </c>
      <c r="L29" s="324">
        <f>IN!O66*-1</f>
        <v>-155330.14604101612</v>
      </c>
      <c r="M29" s="324">
        <f>IN!O67*-1</f>
        <v>-155330.14604101612</v>
      </c>
      <c r="N29" s="324">
        <f>IN!O68*-1</f>
        <v>-155330.14604101612</v>
      </c>
      <c r="O29" s="324">
        <f>IN!O69*-1</f>
        <v>-155330.14604101612</v>
      </c>
      <c r="P29" s="324">
        <f>IN!O70*-1</f>
        <v>-155330.14604101612</v>
      </c>
      <c r="Q29" s="324">
        <f>IN!O71*-1</f>
        <v>-155330.14604101612</v>
      </c>
      <c r="R29" s="324">
        <f>IN!O72*-1</f>
        <v>-155330.14604101612</v>
      </c>
      <c r="S29" s="324">
        <f>IN!O73*-1</f>
        <v>-155330.14604101612</v>
      </c>
      <c r="T29" s="324">
        <f>IN!O74*-1</f>
        <v>-155330.14604101612</v>
      </c>
      <c r="U29" s="324">
        <f>IN!O75*-1</f>
        <v>-155330.14604101612</v>
      </c>
      <c r="V29" s="324">
        <f>IN!O76*-1</f>
        <v>-155330.14604101612</v>
      </c>
      <c r="W29" s="324">
        <f>IN!O77*-1</f>
        <v>-155330.14604101612</v>
      </c>
      <c r="X29" s="324">
        <f>IN!O78*-1</f>
        <v>-155330.14604101612</v>
      </c>
      <c r="Y29" s="324">
        <f>IN!O79*-1</f>
        <v>-155330.14604101612</v>
      </c>
      <c r="Z29" s="324">
        <f>IN!O80*-1</f>
        <v>0</v>
      </c>
      <c r="AA29" s="324">
        <f>IN!O81*-1</f>
        <v>0</v>
      </c>
      <c r="AB29" s="324">
        <f>IN!O82*-1</f>
        <v>0</v>
      </c>
      <c r="AC29" s="324">
        <f>IN!O83*-1</f>
        <v>0</v>
      </c>
      <c r="AD29" s="324">
        <f>IN!O84*-1</f>
        <v>0</v>
      </c>
      <c r="AE29" s="324">
        <f>IN!O85*-1</f>
        <v>0</v>
      </c>
      <c r="AF29" s="324">
        <f>IN!O86*-1</f>
        <v>0</v>
      </c>
      <c r="AG29" s="324"/>
    </row>
    <row r="30" spans="2:34" s="428" customFormat="1" x14ac:dyDescent="0.25">
      <c r="B30" s="433" t="s">
        <v>263</v>
      </c>
      <c r="C30" s="434">
        <f>SUM(C23:C29)</f>
        <v>-1788501.107651615</v>
      </c>
      <c r="D30" s="434">
        <f>SUM(D23:D29)</f>
        <v>-908880.89285646123</v>
      </c>
      <c r="E30" s="434">
        <f t="shared" ref="E30:AB30" si="11">SUM(E23:E29)</f>
        <v>268868.8506054387</v>
      </c>
      <c r="F30" s="434">
        <f t="shared" si="11"/>
        <v>269095.76336193795</v>
      </c>
      <c r="G30" s="434">
        <f t="shared" si="11"/>
        <v>269314.61976570042</v>
      </c>
      <c r="H30" s="434">
        <f t="shared" si="11"/>
        <v>269525.05021904956</v>
      </c>
      <c r="I30" s="434">
        <f t="shared" si="11"/>
        <v>269726.67334521376</v>
      </c>
      <c r="J30" s="434">
        <f t="shared" si="11"/>
        <v>254395.53400080031</v>
      </c>
      <c r="K30" s="434">
        <f t="shared" si="11"/>
        <v>264085.47278537042</v>
      </c>
      <c r="L30" s="434">
        <f t="shared" si="11"/>
        <v>270274.70102044567</v>
      </c>
      <c r="M30" s="434">
        <f t="shared" si="11"/>
        <v>270437.0332524589</v>
      </c>
      <c r="N30" s="434">
        <f t="shared" si="11"/>
        <v>270588.4622108679</v>
      </c>
      <c r="O30" s="434">
        <f t="shared" si="11"/>
        <v>270728.5282759266</v>
      </c>
      <c r="P30" s="434">
        <f t="shared" si="11"/>
        <v>255333.19578457889</v>
      </c>
      <c r="Q30" s="434">
        <f t="shared" si="11"/>
        <v>264956.22247552732</v>
      </c>
      <c r="R30" s="434">
        <f t="shared" si="11"/>
        <v>271075.73440192454</v>
      </c>
      <c r="S30" s="434">
        <f t="shared" si="11"/>
        <v>271165.45836614561</v>
      </c>
      <c r="T30" s="434">
        <f t="shared" si="11"/>
        <v>271241.29680781078</v>
      </c>
      <c r="U30" s="434">
        <f t="shared" si="11"/>
        <v>271302.69719949958</v>
      </c>
      <c r="V30" s="434">
        <f t="shared" si="11"/>
        <v>271349.08992240066</v>
      </c>
      <c r="W30" s="434">
        <f t="shared" si="11"/>
        <v>271693.3637182496</v>
      </c>
      <c r="X30" s="434">
        <f t="shared" si="11"/>
        <v>271725.33276536118</v>
      </c>
      <c r="Y30" s="434">
        <f t="shared" si="11"/>
        <v>271740.65144133847</v>
      </c>
      <c r="Z30" s="434">
        <f t="shared" si="11"/>
        <v>100960.76949933005</v>
      </c>
      <c r="AA30" s="434">
        <f t="shared" si="11"/>
        <v>0</v>
      </c>
      <c r="AB30" s="434">
        <f t="shared" si="11"/>
        <v>0</v>
      </c>
      <c r="AC30" s="434">
        <f>SUM(AC23:AC29)</f>
        <v>0</v>
      </c>
      <c r="AD30" s="434">
        <f>SUM(AD23:AD29)</f>
        <v>0</v>
      </c>
      <c r="AE30" s="434">
        <f>SUM(AE23:AE29)</f>
        <v>0</v>
      </c>
      <c r="AF30" s="434">
        <f>SUM(AF23:AF29)</f>
        <v>0</v>
      </c>
      <c r="AG30" s="434">
        <f>SUM(AG23:AG29)</f>
        <v>0</v>
      </c>
    </row>
    <row r="31" spans="2:34" s="428" customFormat="1" x14ac:dyDescent="0.25">
      <c r="B31" s="433" t="s">
        <v>264</v>
      </c>
      <c r="C31" s="434">
        <f t="shared" ref="C31:AG31" si="12">C30/((1+$C$33)^(C22-1))</f>
        <v>-1788501.107651615</v>
      </c>
      <c r="D31" s="434">
        <f t="shared" si="12"/>
        <v>-849224.51082363154</v>
      </c>
      <c r="E31" s="434">
        <f t="shared" si="12"/>
        <v>234731.61388582352</v>
      </c>
      <c r="F31" s="434">
        <f t="shared" si="12"/>
        <v>219509.59147994453</v>
      </c>
      <c r="G31" s="434">
        <f t="shared" si="12"/>
        <v>205268.40987845889</v>
      </c>
      <c r="H31" s="434">
        <f t="shared" si="12"/>
        <v>191945.02977878647</v>
      </c>
      <c r="I31" s="434">
        <f t="shared" si="12"/>
        <v>179480.46188597367</v>
      </c>
      <c r="J31" s="434">
        <f t="shared" si="12"/>
        <v>158167.88682788861</v>
      </c>
      <c r="K31" s="434">
        <f t="shared" si="12"/>
        <v>153415.37575264435</v>
      </c>
      <c r="L31" s="434">
        <f t="shared" si="12"/>
        <v>146705.13630847115</v>
      </c>
      <c r="M31" s="434">
        <f t="shared" si="12"/>
        <v>137158.15474289109</v>
      </c>
      <c r="N31" s="434">
        <f t="shared" si="12"/>
        <v>128227.23934880702</v>
      </c>
      <c r="O31" s="434">
        <f t="shared" si="12"/>
        <v>119872.78274537182</v>
      </c>
      <c r="P31" s="434">
        <f t="shared" si="12"/>
        <v>105635.37852765745</v>
      </c>
      <c r="Q31" s="434">
        <f t="shared" si="12"/>
        <v>102421.65338352947</v>
      </c>
      <c r="R31" s="434">
        <f t="shared" si="12"/>
        <v>97909.278245368128</v>
      </c>
      <c r="S31" s="434">
        <f t="shared" si="12"/>
        <v>91513.069066398282</v>
      </c>
      <c r="T31" s="434">
        <f t="shared" si="12"/>
        <v>85530.323031764638</v>
      </c>
      <c r="U31" s="434">
        <f t="shared" si="12"/>
        <v>79934.444033193169</v>
      </c>
      <c r="V31" s="434">
        <f t="shared" si="12"/>
        <v>74700.543852915405</v>
      </c>
      <c r="W31" s="434">
        <f t="shared" si="12"/>
        <v>69885.965912707848</v>
      </c>
      <c r="X31" s="434">
        <f t="shared" si="12"/>
        <v>65306.531385614697</v>
      </c>
      <c r="Y31" s="434">
        <f t="shared" si="12"/>
        <v>61023.434633133038</v>
      </c>
      <c r="Z31" s="434">
        <f t="shared" si="12"/>
        <v>21184.110573656184</v>
      </c>
      <c r="AA31" s="434">
        <f t="shared" si="12"/>
        <v>0</v>
      </c>
      <c r="AB31" s="434">
        <f t="shared" si="12"/>
        <v>0</v>
      </c>
      <c r="AC31" s="434">
        <f t="shared" si="12"/>
        <v>0</v>
      </c>
      <c r="AD31" s="434">
        <f t="shared" si="12"/>
        <v>0</v>
      </c>
      <c r="AE31" s="434">
        <f t="shared" si="12"/>
        <v>0</v>
      </c>
      <c r="AF31" s="434">
        <f t="shared" si="12"/>
        <v>0</v>
      </c>
      <c r="AG31" s="434">
        <f t="shared" si="12"/>
        <v>0</v>
      </c>
    </row>
    <row r="32" spans="2:34" x14ac:dyDescent="0.25">
      <c r="B32" s="347"/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8"/>
      <c r="T32" s="348"/>
      <c r="U32" s="348"/>
      <c r="V32" s="348"/>
      <c r="W32" s="327"/>
      <c r="X32" s="99"/>
      <c r="Y32" s="99"/>
      <c r="Z32" s="99"/>
      <c r="AA32" s="99"/>
      <c r="AB32" s="99"/>
      <c r="AC32" s="99"/>
      <c r="AD32" s="99"/>
      <c r="AE32" s="99"/>
      <c r="AF32" s="99"/>
      <c r="AG32" s="99"/>
    </row>
    <row r="33" spans="2:33" x14ac:dyDescent="0.25">
      <c r="B33" s="131" t="s">
        <v>49</v>
      </c>
      <c r="C33" s="214">
        <f>IN!C45</f>
        <v>7.0248068999999996E-2</v>
      </c>
      <c r="D33" s="219"/>
      <c r="E33" s="217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</row>
    <row r="34" spans="2:33" x14ac:dyDescent="0.25">
      <c r="B34" s="131" t="s">
        <v>19</v>
      </c>
      <c r="C34" s="215">
        <f>C30+NPV(C33,D30:AG30)</f>
        <v>91800.796805752208</v>
      </c>
      <c r="D34" s="216"/>
      <c r="E34" s="217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</row>
    <row r="35" spans="2:33" x14ac:dyDescent="0.25">
      <c r="B35" s="131" t="s">
        <v>21</v>
      </c>
      <c r="C35" s="214">
        <f>IRR(C30:AG30,0.1%)</f>
        <v>7.4180324118491736E-2</v>
      </c>
      <c r="D35" s="219"/>
      <c r="E35" s="217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</row>
    <row r="36" spans="2:33" x14ac:dyDescent="0.25">
      <c r="B36" s="130"/>
      <c r="C36" s="289"/>
      <c r="D36" s="219"/>
      <c r="E36" s="217"/>
      <c r="F36" s="99"/>
      <c r="G36" s="99"/>
      <c r="H36" s="99"/>
      <c r="I36" s="397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</row>
    <row r="37" spans="2:33" x14ac:dyDescent="0.25">
      <c r="B37" s="130"/>
      <c r="C37" s="278"/>
      <c r="D37" s="219"/>
      <c r="E37" s="217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99"/>
      <c r="AE37" s="99"/>
      <c r="AF37" s="99"/>
      <c r="AG37" s="99"/>
    </row>
    <row r="38" spans="2:33" ht="23.25" x14ac:dyDescent="0.35">
      <c r="B38" s="175" t="s">
        <v>269</v>
      </c>
      <c r="C38" s="126"/>
      <c r="D38" s="127"/>
      <c r="E38" s="127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</row>
    <row r="39" spans="2:33" x14ac:dyDescent="0.25">
      <c r="B39" s="130"/>
      <c r="C39" s="278"/>
      <c r="D39" s="219"/>
      <c r="E39" s="217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</row>
    <row r="40" spans="2:33" x14ac:dyDescent="0.25">
      <c r="B40" s="131" t="s">
        <v>270</v>
      </c>
      <c r="C40" s="315">
        <f>SUM(C48:AG48)+1</f>
        <v>23</v>
      </c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2"/>
      <c r="AF40" s="222"/>
      <c r="AG40" s="222"/>
    </row>
    <row r="41" spans="2:33" x14ac:dyDescent="0.25">
      <c r="B41" s="131" t="s">
        <v>271</v>
      </c>
      <c r="C41" s="315">
        <f>SUM(C53:AG53)+1</f>
        <v>15</v>
      </c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2"/>
      <c r="AF41" s="222"/>
      <c r="AG41" s="222"/>
    </row>
    <row r="42" spans="2:33" x14ac:dyDescent="0.25"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1"/>
      <c r="AE42" s="222"/>
      <c r="AF42" s="222"/>
      <c r="AG42" s="222"/>
    </row>
    <row r="43" spans="2:33" hidden="1" outlineLevel="1" x14ac:dyDescent="0.25"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1"/>
      <c r="AE43" s="222"/>
      <c r="AF43" s="222"/>
      <c r="AG43" s="222"/>
    </row>
    <row r="44" spans="2:33" hidden="1" outlineLevel="1" x14ac:dyDescent="0.25">
      <c r="B44" s="1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  <c r="AA44" s="314"/>
      <c r="AB44" s="314"/>
      <c r="AC44" s="314"/>
      <c r="AD44" s="314"/>
      <c r="AE44" s="314"/>
      <c r="AF44" s="314"/>
      <c r="AG44" s="314"/>
    </row>
    <row r="45" spans="2:33" hidden="1" outlineLevel="1" x14ac:dyDescent="0.25">
      <c r="B45" s="396" t="s">
        <v>270</v>
      </c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1"/>
      <c r="AE45" s="222"/>
      <c r="AF45" s="222"/>
      <c r="AG45" s="222"/>
    </row>
    <row r="46" spans="2:33" hidden="1" outlineLevel="1" x14ac:dyDescent="0.25">
      <c r="B46" s="312" t="s">
        <v>79</v>
      </c>
      <c r="C46" s="313">
        <v>1</v>
      </c>
      <c r="D46" s="313">
        <f>C46+1</f>
        <v>2</v>
      </c>
      <c r="E46" s="313">
        <f t="shared" ref="E46" si="13">D46+1</f>
        <v>3</v>
      </c>
      <c r="F46" s="313">
        <f t="shared" ref="F46" si="14">E46+1</f>
        <v>4</v>
      </c>
      <c r="G46" s="313">
        <f t="shared" ref="G46" si="15">F46+1</f>
        <v>5</v>
      </c>
      <c r="H46" s="313">
        <f t="shared" ref="H46" si="16">G46+1</f>
        <v>6</v>
      </c>
      <c r="I46" s="313">
        <f t="shared" ref="I46" si="17">H46+1</f>
        <v>7</v>
      </c>
      <c r="J46" s="313">
        <f t="shared" ref="J46" si="18">I46+1</f>
        <v>8</v>
      </c>
      <c r="K46" s="313">
        <f t="shared" ref="K46" si="19">J46+1</f>
        <v>9</v>
      </c>
      <c r="L46" s="313">
        <f t="shared" ref="L46" si="20">K46+1</f>
        <v>10</v>
      </c>
      <c r="M46" s="313">
        <f t="shared" ref="M46" si="21">L46+1</f>
        <v>11</v>
      </c>
      <c r="N46" s="313">
        <f t="shared" ref="N46" si="22">M46+1</f>
        <v>12</v>
      </c>
      <c r="O46" s="313">
        <f t="shared" ref="O46" si="23">N46+1</f>
        <v>13</v>
      </c>
      <c r="P46" s="313">
        <f t="shared" ref="P46" si="24">O46+1</f>
        <v>14</v>
      </c>
      <c r="Q46" s="313">
        <f t="shared" ref="Q46" si="25">P46+1</f>
        <v>15</v>
      </c>
      <c r="R46" s="313">
        <f t="shared" ref="R46" si="26">Q46+1</f>
        <v>16</v>
      </c>
      <c r="S46" s="313">
        <f t="shared" ref="S46" si="27">R46+1</f>
        <v>17</v>
      </c>
      <c r="T46" s="313">
        <f t="shared" ref="T46" si="28">S46+1</f>
        <v>18</v>
      </c>
      <c r="U46" s="313">
        <f t="shared" ref="U46" si="29">T46+1</f>
        <v>19</v>
      </c>
      <c r="V46" s="313">
        <f t="shared" ref="V46" si="30">U46+1</f>
        <v>20</v>
      </c>
      <c r="W46" s="313">
        <f t="shared" ref="W46" si="31">V46+1</f>
        <v>21</v>
      </c>
      <c r="X46" s="313">
        <f t="shared" ref="X46" si="32">W46+1</f>
        <v>22</v>
      </c>
      <c r="Y46" s="313">
        <f t="shared" ref="Y46" si="33">X46+1</f>
        <v>23</v>
      </c>
      <c r="Z46" s="313">
        <f t="shared" ref="Z46" si="34">Y46+1</f>
        <v>24</v>
      </c>
      <c r="AA46" s="313">
        <f t="shared" ref="AA46" si="35">Z46+1</f>
        <v>25</v>
      </c>
      <c r="AB46" s="313">
        <f t="shared" ref="AB46" si="36">AA46+1</f>
        <v>26</v>
      </c>
      <c r="AC46" s="313">
        <f t="shared" ref="AC46" si="37">AB46+1</f>
        <v>27</v>
      </c>
      <c r="AD46" s="313">
        <f t="shared" ref="AD46" si="38">AC46+1</f>
        <v>28</v>
      </c>
      <c r="AE46" s="313">
        <f t="shared" ref="AE46:AG46" si="39">AD46+1</f>
        <v>29</v>
      </c>
      <c r="AF46" s="313">
        <f t="shared" si="39"/>
        <v>30</v>
      </c>
      <c r="AG46" s="313">
        <f t="shared" si="39"/>
        <v>31</v>
      </c>
    </row>
    <row r="47" spans="2:33" hidden="1" outlineLevel="1" x14ac:dyDescent="0.25">
      <c r="B47" s="1" t="s">
        <v>272</v>
      </c>
      <c r="C47" s="336">
        <f>C12</f>
        <v>-4315512.9870184064</v>
      </c>
      <c r="D47" s="336">
        <f>IF(D46&lt;=(IN!$C$47+1),SUM($C$12:D12),0)</f>
        <v>-5049443.9775026711</v>
      </c>
      <c r="E47" s="336">
        <f>IF(E46&lt;=(IN!$C$47+1),SUM($C$12:E12),0)</f>
        <v>-4679383.0760147441</v>
      </c>
      <c r="F47" s="336">
        <f>IF(F46&lt;=(IN!$C$47+1),SUM($C$12:F12),0)</f>
        <v>-4326176.4408228118</v>
      </c>
      <c r="G47" s="336">
        <f>IF(G46&lt;=(IN!$C$47+1),SUM($C$12:G12),0)</f>
        <v>-3989051.0052779182</v>
      </c>
      <c r="H47" s="336">
        <f>IF(H46&lt;=(IN!$C$47+1),SUM($C$12:H12),0)</f>
        <v>-3667269.3748543169</v>
      </c>
      <c r="I47" s="336">
        <f>IF(I46&lt;=(IN!$C$47+1),SUM($C$12:I12),0)</f>
        <v>-3360128.1727929427</v>
      </c>
      <c r="J47" s="336">
        <f>IF(J46&lt;=(IN!$C$47+1),SUM($C$12:J12),0)</f>
        <v>-3078003.4891829491</v>
      </c>
      <c r="K47" s="336">
        <f>IF(K46&lt;=(IN!$C$47+1),SUM($C$12:K12),0)</f>
        <v>-2802239.6443503019</v>
      </c>
      <c r="L47" s="336">
        <f>IF(L46&lt;=(IN!$C$47+1),SUM($C$12:L12),0)</f>
        <v>-2535116.4220757526</v>
      </c>
      <c r="M47" s="336">
        <f>IF(M46&lt;=(IN!$C$47+1),SUM($C$12:M12),0)</f>
        <v>-2280129.8338422198</v>
      </c>
      <c r="N47" s="336">
        <f>IF(N46&lt;=(IN!$C$47+1),SUM($C$12:N12),0)</f>
        <v>-2036724.3504612036</v>
      </c>
      <c r="O47" s="336">
        <f>IF(O46&lt;=(IN!$C$47+1),SUM($C$12:O12),0)</f>
        <v>-1804370.0320629308</v>
      </c>
      <c r="P47" s="336">
        <f>IF(P46&lt;=(IN!$C$47+1),SUM($C$12:P12),0)</f>
        <v>-1590814.2316496428</v>
      </c>
      <c r="Q47" s="336">
        <f>IF(Q46&lt;=(IN!$C$47+1),SUM($C$12:Q12),0)</f>
        <v>-1382115.7359743463</v>
      </c>
      <c r="R47" s="336">
        <f>IF(R46&lt;=(IN!$C$47+1),SUM($C$12:R12),0)</f>
        <v>-1179973.719497802</v>
      </c>
      <c r="S47" s="336">
        <f>IF(S46&lt;=(IN!$C$47+1),SUM($C$12:S12),0)</f>
        <v>-986996.11300854012</v>
      </c>
      <c r="T47" s="336">
        <f>IF(T46&lt;=(IN!$C$47+1),SUM($C$12:T12),0)</f>
        <v>-802764.21261553757</v>
      </c>
      <c r="U47" s="336">
        <f>IF(U46&lt;=(IN!$C$47+1),SUM($C$12:U12),0)</f>
        <v>-626878.57080515428</v>
      </c>
      <c r="V47" s="336">
        <f>IF(V46&lt;=(IN!$C$47+1),SUM($C$12:V12),0)</f>
        <v>-458958.10588174732</v>
      </c>
      <c r="W47" s="336">
        <f>IF(W46&lt;=(IN!$C$47+1),SUM($C$12:W12),0)</f>
        <v>-298520.65601921955</v>
      </c>
      <c r="X47" s="336">
        <f>IF(X46&lt;=(IN!$C$47+1),SUM($C$12:X12),0)</f>
        <v>-145337.32546570952</v>
      </c>
      <c r="Y47" s="336">
        <f>IF(Y46&lt;=(IN!$C$47+1),SUM($C$12:Y12),0)</f>
        <v>922.54171568347374</v>
      </c>
      <c r="Z47" s="336">
        <f>IF(Z46&lt;=(IN!$C$47+1),SUM($C$12:Z12),0)</f>
        <v>33936.802541604389</v>
      </c>
      <c r="AA47" s="336">
        <f>IF(AA46&lt;=(IN!$C$47+1),SUM($C$12:AA12),0)</f>
        <v>0</v>
      </c>
      <c r="AB47" s="336">
        <f>IF(AB46&lt;=(IN!$C$47+1),SUM($C$12:AB12),0)</f>
        <v>0</v>
      </c>
      <c r="AC47" s="336">
        <f>IF(AC46&lt;=(IN!$C$47+1),SUM($C$12:AC12),0)</f>
        <v>0</v>
      </c>
      <c r="AD47" s="336">
        <f>IF(AD46&lt;=(IN!$C$47+1),SUM($C$12:AD12),0)</f>
        <v>0</v>
      </c>
      <c r="AE47" s="336">
        <f>IF(AE46&lt;=(IN!$C$47+1),SUM($C$12:AE12),0)</f>
        <v>0</v>
      </c>
      <c r="AF47" s="336">
        <f>IF(AF46&lt;=(IN!$C$47+1),SUM($C$12:AF12),0)</f>
        <v>0</v>
      </c>
      <c r="AG47" s="336">
        <f>IF(AG46&lt;=(IN!$C$47+1),SUM($C$12:AG12),0)</f>
        <v>0</v>
      </c>
    </row>
    <row r="48" spans="2:33" hidden="1" outlineLevel="1" x14ac:dyDescent="0.25">
      <c r="B48" s="1" t="s">
        <v>273</v>
      </c>
      <c r="C48" s="314">
        <f>IF(AND(C46&lt;=IN!$C$47,'RF VAL_INV opz1'!C47&lt;=0),1,0)</f>
        <v>1</v>
      </c>
      <c r="D48" s="314">
        <f>IF(AND(D46&lt;=IN!$C$47,'RF VAL_INV opz1'!D47&lt;=0),1,0)</f>
        <v>1</v>
      </c>
      <c r="E48" s="314">
        <f>IF(AND(E46&lt;=IN!$C$47,'RF VAL_INV opz1'!E47&lt;=0),1,0)</f>
        <v>1</v>
      </c>
      <c r="F48" s="314">
        <f>IF(AND(F46&lt;=IN!$C$47,'RF VAL_INV opz1'!F47&lt;=0),1,0)</f>
        <v>1</v>
      </c>
      <c r="G48" s="314">
        <f>IF(AND(G46&lt;=IN!$C$47,'RF VAL_INV opz1'!G47&lt;=0),1,0)</f>
        <v>1</v>
      </c>
      <c r="H48" s="314">
        <f>IF(AND(H46&lt;=IN!$C$47,'RF VAL_INV opz1'!H47&lt;=0),1,0)</f>
        <v>1</v>
      </c>
      <c r="I48" s="314">
        <f>IF(AND(I46&lt;=IN!$C$47,'RF VAL_INV opz1'!I47&lt;=0),1,0)</f>
        <v>1</v>
      </c>
      <c r="J48" s="314">
        <f>IF(AND(J46&lt;=IN!$C$47,'RF VAL_INV opz1'!J47&lt;=0),1,0)</f>
        <v>1</v>
      </c>
      <c r="K48" s="314">
        <f>IF(AND(K46&lt;=IN!$C$47,'RF VAL_INV opz1'!K47&lt;=0),1,0)</f>
        <v>1</v>
      </c>
      <c r="L48" s="314">
        <f>IF(AND(L46&lt;=IN!$C$47,'RF VAL_INV opz1'!L47&lt;=0),1,0)</f>
        <v>1</v>
      </c>
      <c r="M48" s="314">
        <f>IF(AND(M46&lt;=IN!$C$47,'RF VAL_INV opz1'!M47&lt;=0),1,0)</f>
        <v>1</v>
      </c>
      <c r="N48" s="314">
        <f>IF(AND(N46&lt;=IN!$C$47,'RF VAL_INV opz1'!N47&lt;=0),1,0)</f>
        <v>1</v>
      </c>
      <c r="O48" s="314">
        <f>IF(AND(O46&lt;=IN!$C$47,'RF VAL_INV opz1'!O47&lt;=0),1,0)</f>
        <v>1</v>
      </c>
      <c r="P48" s="314">
        <f>IF(AND(P46&lt;=IN!$C$47,'RF VAL_INV opz1'!P47&lt;=0),1,0)</f>
        <v>1</v>
      </c>
      <c r="Q48" s="314">
        <f>IF(AND(Q46&lt;=IN!$C$47,'RF VAL_INV opz1'!Q47&lt;=0),1,0)</f>
        <v>1</v>
      </c>
      <c r="R48" s="314">
        <f>IF(AND(R46&lt;=IN!$C$47,'RF VAL_INV opz1'!R47&lt;=0),1,0)</f>
        <v>1</v>
      </c>
      <c r="S48" s="314">
        <f>IF(AND(S46&lt;=IN!$C$47,'RF VAL_INV opz1'!S47&lt;=0),1,0)</f>
        <v>1</v>
      </c>
      <c r="T48" s="314">
        <f>IF(AND(T46&lt;=IN!$C$47,'RF VAL_INV opz1'!T47&lt;=0),1,0)</f>
        <v>1</v>
      </c>
      <c r="U48" s="314">
        <f>IF(AND(U46&lt;=IN!$C$47,'RF VAL_INV opz1'!U47&lt;=0),1,0)</f>
        <v>1</v>
      </c>
      <c r="V48" s="314">
        <f>IF(AND(V46&lt;=IN!$C$47,'RF VAL_INV opz1'!V47&lt;=0),1,0)</f>
        <v>1</v>
      </c>
      <c r="W48" s="314">
        <f>IF(AND(W46&lt;=IN!$C$47,'RF VAL_INV opz1'!W47&lt;=0),1,0)</f>
        <v>1</v>
      </c>
      <c r="X48" s="314">
        <f>IF(AND(X46&lt;=IN!$C$47,'RF VAL_INV opz1'!X47&lt;=0),1,0)</f>
        <v>1</v>
      </c>
      <c r="Y48" s="314">
        <f>IF(AND(Y46&lt;=IN!$C$47,'RF VAL_INV opz1'!Y47&lt;=0),1,0)</f>
        <v>0</v>
      </c>
      <c r="Z48" s="314">
        <f>IF(AND(Z46&lt;=IN!$C$47,'RF VAL_INV opz1'!Z47&lt;=0),1,0)</f>
        <v>0</v>
      </c>
      <c r="AA48" s="314">
        <f>IF(AND(AA46&lt;=IN!$C$47,'RF VAL_INV opz1'!AA47&lt;=0),1,0)</f>
        <v>0</v>
      </c>
      <c r="AB48" s="314">
        <f>IF(AND(AB46&lt;=IN!$C$47,'RF VAL_INV opz1'!AB47&lt;=0),1,0)</f>
        <v>0</v>
      </c>
      <c r="AC48" s="314">
        <f>IF(AND(AC46&lt;=IN!$C$47,'RF VAL_INV opz1'!AC47&lt;=0),1,0)</f>
        <v>0</v>
      </c>
      <c r="AD48" s="314">
        <f>IF(AND(AD46&lt;=IN!$C$47,'RF VAL_INV opz1'!AD47&lt;=0),1,0)</f>
        <v>0</v>
      </c>
      <c r="AE48" s="314">
        <f>IF(AND(AE46&lt;=IN!$C$47,'RF VAL_INV opz1'!AE47&lt;=0),1,0)</f>
        <v>0</v>
      </c>
      <c r="AF48" s="314">
        <f>IF(AND(AF46&lt;=IN!$C$47,'RF VAL_INV opz1'!AF47&lt;=0),1,0)</f>
        <v>0</v>
      </c>
      <c r="AG48" s="314">
        <f>IF(AND(AG46&lt;=IN!$C$47,'RF VAL_INV opz1'!AG47&lt;=0),1,0)</f>
        <v>0</v>
      </c>
    </row>
    <row r="49" spans="2:33" hidden="1" outlineLevel="1" x14ac:dyDescent="0.25">
      <c r="B49" s="1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  <c r="Z49" s="314"/>
      <c r="AA49" s="314"/>
      <c r="AB49" s="314"/>
      <c r="AC49" s="314"/>
      <c r="AD49" s="314"/>
      <c r="AE49" s="314"/>
      <c r="AF49" s="314"/>
      <c r="AG49" s="314"/>
    </row>
    <row r="50" spans="2:33" hidden="1" outlineLevel="1" x14ac:dyDescent="0.25">
      <c r="B50" s="396" t="s">
        <v>271</v>
      </c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1"/>
      <c r="AE50" s="222"/>
      <c r="AF50" s="222"/>
      <c r="AG50" s="222"/>
    </row>
    <row r="51" spans="2:33" hidden="1" outlineLevel="1" x14ac:dyDescent="0.25">
      <c r="B51" s="312" t="s">
        <v>79</v>
      </c>
      <c r="C51" s="313">
        <v>1</v>
      </c>
      <c r="D51" s="313">
        <f>C51+1</f>
        <v>2</v>
      </c>
      <c r="E51" s="313">
        <f t="shared" ref="E51:AG51" si="40">D51+1</f>
        <v>3</v>
      </c>
      <c r="F51" s="313">
        <f t="shared" si="40"/>
        <v>4</v>
      </c>
      <c r="G51" s="313">
        <f t="shared" si="40"/>
        <v>5</v>
      </c>
      <c r="H51" s="313">
        <f t="shared" si="40"/>
        <v>6</v>
      </c>
      <c r="I51" s="313">
        <f t="shared" si="40"/>
        <v>7</v>
      </c>
      <c r="J51" s="313">
        <f t="shared" si="40"/>
        <v>8</v>
      </c>
      <c r="K51" s="313">
        <f t="shared" si="40"/>
        <v>9</v>
      </c>
      <c r="L51" s="313">
        <f t="shared" si="40"/>
        <v>10</v>
      </c>
      <c r="M51" s="313">
        <f t="shared" si="40"/>
        <v>11</v>
      </c>
      <c r="N51" s="313">
        <f t="shared" si="40"/>
        <v>12</v>
      </c>
      <c r="O51" s="313">
        <f t="shared" si="40"/>
        <v>13</v>
      </c>
      <c r="P51" s="313">
        <f t="shared" si="40"/>
        <v>14</v>
      </c>
      <c r="Q51" s="313">
        <f t="shared" si="40"/>
        <v>15</v>
      </c>
      <c r="R51" s="313">
        <f t="shared" si="40"/>
        <v>16</v>
      </c>
      <c r="S51" s="313">
        <f t="shared" si="40"/>
        <v>17</v>
      </c>
      <c r="T51" s="313">
        <f t="shared" si="40"/>
        <v>18</v>
      </c>
      <c r="U51" s="313">
        <f t="shared" si="40"/>
        <v>19</v>
      </c>
      <c r="V51" s="313">
        <f t="shared" si="40"/>
        <v>20</v>
      </c>
      <c r="W51" s="313">
        <f t="shared" si="40"/>
        <v>21</v>
      </c>
      <c r="X51" s="313">
        <f t="shared" si="40"/>
        <v>22</v>
      </c>
      <c r="Y51" s="313">
        <f t="shared" si="40"/>
        <v>23</v>
      </c>
      <c r="Z51" s="313">
        <f t="shared" si="40"/>
        <v>24</v>
      </c>
      <c r="AA51" s="313">
        <f t="shared" si="40"/>
        <v>25</v>
      </c>
      <c r="AB51" s="313">
        <f t="shared" si="40"/>
        <v>26</v>
      </c>
      <c r="AC51" s="313">
        <f t="shared" si="40"/>
        <v>27</v>
      </c>
      <c r="AD51" s="313">
        <f t="shared" si="40"/>
        <v>28</v>
      </c>
      <c r="AE51" s="313">
        <f t="shared" si="40"/>
        <v>29</v>
      </c>
      <c r="AF51" s="313">
        <f t="shared" si="40"/>
        <v>30</v>
      </c>
      <c r="AG51" s="313">
        <f t="shared" si="40"/>
        <v>31</v>
      </c>
    </row>
    <row r="52" spans="2:33" hidden="1" outlineLevel="1" x14ac:dyDescent="0.25">
      <c r="B52" s="1" t="s">
        <v>272</v>
      </c>
      <c r="C52" s="336">
        <f>C11</f>
        <v>-4315512.9870184064</v>
      </c>
      <c r="D52" s="336">
        <f>IF(D51&lt;=(IN!$C$47+1),SUM($C$11:D11),0)</f>
        <v>-5085993.7408287879</v>
      </c>
      <c r="E52" s="336">
        <f>IF(E51&lt;=(IN!$C$47+1),SUM($C$11:E11),0)</f>
        <v>-4678157.007714537</v>
      </c>
      <c r="F52" s="336">
        <f>IF(F51&lt;=(IN!$C$47+1),SUM($C$11:F11),0)</f>
        <v>-4269509.7783384444</v>
      </c>
      <c r="G52" s="336">
        <f>IF(G51&lt;=(IN!$C$47+1),SUM($C$11:G11),0)</f>
        <v>-3860043.8270734483</v>
      </c>
      <c r="H52" s="336">
        <f>IF(H51&lt;=(IN!$C$47+1),SUM($C$11:H11),0)</f>
        <v>-3449750.8436229266</v>
      </c>
      <c r="I52" s="336">
        <f>IF(I51&lt;=(IN!$C$47+1),SUM($C$11:I11),0)</f>
        <v>-3038622.4321257365</v>
      </c>
      <c r="J52" s="336">
        <f>IF(J51&lt;=(IN!$C$47+1),SUM($C$11:J11),0)</f>
        <v>-2642173.6718951734</v>
      </c>
      <c r="K52" s="336">
        <f>IF(K51&lt;=(IN!$C$47+1),SUM($C$11:K11),0)</f>
        <v>-2235365.3082848834</v>
      </c>
      <c r="L52" s="336">
        <f>IF(L51&lt;=(IN!$C$47+1),SUM($C$11:L11),0)</f>
        <v>-1821679.3682021566</v>
      </c>
      <c r="M52" s="336">
        <f>IF(M51&lt;=(IN!$C$47+1),SUM($C$11:M11),0)</f>
        <v>-1407123.5427342327</v>
      </c>
      <c r="N52" s="336">
        <f>IF(N51&lt;=(IN!$C$47+1),SUM($C$11:N11),0)</f>
        <v>-991688.99442174193</v>
      </c>
      <c r="O52" s="336">
        <f>IF(O51&lt;=(IN!$C$47+1),SUM($C$11:O11),0)</f>
        <v>-575366.79465861083</v>
      </c>
      <c r="P52" s="336">
        <f>IF(P51&lt;=(IN!$C$47+1),SUM($C$11:P11),0)</f>
        <v>-173671.4843689882</v>
      </c>
      <c r="Q52" s="336">
        <f>IF(Q51&lt;=(IN!$C$47+1),SUM($C$11:Q11),0)</f>
        <v>238436.73518961988</v>
      </c>
      <c r="R52" s="336">
        <f>IF(R51&lt;=(IN!$C$47+1),SUM($C$11:R11),0)</f>
        <v>657476.38697658945</v>
      </c>
      <c r="S52" s="336">
        <f>IF(S51&lt;=(IN!$C$47+1),SUM($C$11:S11),0)</f>
        <v>1077440.335606169</v>
      </c>
      <c r="T52" s="336">
        <f>IF(T51&lt;=(IN!$C$47+1),SUM($C$11:T11),0)</f>
        <v>1498337.9801391098</v>
      </c>
      <c r="U52" s="336">
        <f>IF(U51&lt;=(IN!$C$47+1),SUM($C$11:U11),0)</f>
        <v>1920178.8167486168</v>
      </c>
      <c r="V52" s="336">
        <f>IF(V51&lt;=(IN!$C$47+1),SUM($C$11:V11),0)</f>
        <v>2342972.4397539105</v>
      </c>
      <c r="W52" s="336">
        <f>IF(W51&lt;=(IN!$C$47+1),SUM($C$11:W11),0)</f>
        <v>2767042.0186114125</v>
      </c>
      <c r="X52" s="336">
        <f>IF(X51&lt;=(IN!$C$47+1),SUM($C$11:X11),0)</f>
        <v>3192101.2425017571</v>
      </c>
      <c r="Y52" s="336">
        <f>IF(Y51&lt;=(IN!$C$47+1),SUM($C$11:Y11),0)</f>
        <v>3618160.1802138123</v>
      </c>
      <c r="Z52" s="336">
        <f>IF(Z51&lt;=(IN!$C$47+1),SUM($C$11:Z11),0)</f>
        <v>3719120.9497131421</v>
      </c>
      <c r="AA52" s="336">
        <f>IF(AA51&lt;=(IN!$C$47+1),SUM($C$11:AA11),0)</f>
        <v>0</v>
      </c>
      <c r="AB52" s="336">
        <f>IF(AB51&lt;=(IN!$C$47+1),SUM($C$11:AB11),0)</f>
        <v>0</v>
      </c>
      <c r="AC52" s="336">
        <f>IF(AC51&lt;=(IN!$C$47+1),SUM($C$11:AC11),0)</f>
        <v>0</v>
      </c>
      <c r="AD52" s="336">
        <f>IF(AD51&lt;=(IN!$C$47+1),SUM($C$11:AD11),0)</f>
        <v>0</v>
      </c>
      <c r="AE52" s="336">
        <f>IF(AE51&lt;=(IN!$C$47+1),SUM($C$11:AE11),0)</f>
        <v>0</v>
      </c>
      <c r="AF52" s="336">
        <f>IF(AF51&lt;=(IN!$C$47+1),SUM($C$11:AF11),0)</f>
        <v>0</v>
      </c>
      <c r="AG52" s="336">
        <f>IF(AG51&lt;=(IN!$C$47+1),SUM($C$11:AG11),0)</f>
        <v>0</v>
      </c>
    </row>
    <row r="53" spans="2:33" hidden="1" outlineLevel="1" x14ac:dyDescent="0.25">
      <c r="B53" s="1" t="s">
        <v>273</v>
      </c>
      <c r="C53" s="314">
        <f>IF(AND(C51&lt;=IN!$C$47,'RF VAL_INV opz1'!C52&lt;=0),1,0)</f>
        <v>1</v>
      </c>
      <c r="D53" s="314">
        <f>IF(AND(D51&lt;=IN!$C$47,'RF VAL_INV opz1'!D52&lt;=0),1,0)</f>
        <v>1</v>
      </c>
      <c r="E53" s="314">
        <f>IF(AND(E51&lt;=IN!$C$47,'RF VAL_INV opz1'!E52&lt;=0),1,0)</f>
        <v>1</v>
      </c>
      <c r="F53" s="314">
        <f>IF(AND(F51&lt;=IN!$C$47,'RF VAL_INV opz1'!F52&lt;=0),1,0)</f>
        <v>1</v>
      </c>
      <c r="G53" s="314">
        <f>IF(AND(G51&lt;=IN!$C$47,'RF VAL_INV opz1'!G52&lt;=0),1,0)</f>
        <v>1</v>
      </c>
      <c r="H53" s="314">
        <f>IF(AND(H51&lt;=IN!$C$47,'RF VAL_INV opz1'!H52&lt;=0),1,0)</f>
        <v>1</v>
      </c>
      <c r="I53" s="314">
        <f>IF(AND(I51&lt;=IN!$C$47,'RF VAL_INV opz1'!I52&lt;=0),1,0)</f>
        <v>1</v>
      </c>
      <c r="J53" s="314">
        <f>IF(AND(J51&lt;=IN!$C$47,'RF VAL_INV opz1'!J52&lt;=0),1,0)</f>
        <v>1</v>
      </c>
      <c r="K53" s="314">
        <f>IF(AND(K51&lt;=IN!$C$47,'RF VAL_INV opz1'!K52&lt;=0),1,0)</f>
        <v>1</v>
      </c>
      <c r="L53" s="314">
        <f>IF(AND(L51&lt;=IN!$C$47,'RF VAL_INV opz1'!L52&lt;=0),1,0)</f>
        <v>1</v>
      </c>
      <c r="M53" s="314">
        <f>IF(AND(M51&lt;=IN!$C$47,'RF VAL_INV opz1'!M52&lt;=0),1,0)</f>
        <v>1</v>
      </c>
      <c r="N53" s="314">
        <f>IF(AND(N51&lt;=IN!$C$47,'RF VAL_INV opz1'!N52&lt;=0),1,0)</f>
        <v>1</v>
      </c>
      <c r="O53" s="314">
        <f>IF(AND(O51&lt;=IN!$C$47,'RF VAL_INV opz1'!O52&lt;=0),1,0)</f>
        <v>1</v>
      </c>
      <c r="P53" s="314">
        <f>IF(AND(P51&lt;=IN!$C$47,'RF VAL_INV opz1'!P52&lt;=0),1,0)</f>
        <v>1</v>
      </c>
      <c r="Q53" s="314">
        <f>IF(AND(Q51&lt;=IN!$C$47,'RF VAL_INV opz1'!Q52&lt;=0),1,0)</f>
        <v>0</v>
      </c>
      <c r="R53" s="314">
        <f>IF(AND(R51&lt;=IN!$C$47,'RF VAL_INV opz1'!R52&lt;=0),1,0)</f>
        <v>0</v>
      </c>
      <c r="S53" s="314">
        <f>IF(AND(S51&lt;=IN!$C$47,'RF VAL_INV opz1'!S52&lt;=0),1,0)</f>
        <v>0</v>
      </c>
      <c r="T53" s="314">
        <f>IF(AND(T51&lt;=IN!$C$47,'RF VAL_INV opz1'!T52&lt;=0),1,0)</f>
        <v>0</v>
      </c>
      <c r="U53" s="314">
        <f>IF(AND(U51&lt;=IN!$C$47,'RF VAL_INV opz1'!U52&lt;=0),1,0)</f>
        <v>0</v>
      </c>
      <c r="V53" s="314">
        <f>IF(AND(V51&lt;=IN!$C$47,'RF VAL_INV opz1'!V52&lt;=0),1,0)</f>
        <v>0</v>
      </c>
      <c r="W53" s="314">
        <f>IF(AND(W51&lt;=IN!$C$47,'RF VAL_INV opz1'!W52&lt;=0),1,0)</f>
        <v>0</v>
      </c>
      <c r="X53" s="314">
        <f>IF(AND(X51&lt;=IN!$C$47,'RF VAL_INV opz1'!X52&lt;=0),1,0)</f>
        <v>0</v>
      </c>
      <c r="Y53" s="314">
        <f>IF(AND(Y51&lt;=IN!$C$47,'RF VAL_INV opz1'!Y52&lt;=0),1,0)</f>
        <v>0</v>
      </c>
      <c r="Z53" s="314">
        <f>IF(AND(Z51&lt;=IN!$C$47,'RF VAL_INV opz1'!Z52&lt;=0),1,0)</f>
        <v>0</v>
      </c>
      <c r="AA53" s="314">
        <f>IF(AND(AA51&lt;=IN!$C$47,'RF VAL_INV opz1'!AA52&lt;=0),1,0)</f>
        <v>0</v>
      </c>
      <c r="AB53" s="314">
        <f>IF(AND(AB51&lt;=IN!$C$47,'RF VAL_INV opz1'!AB52&lt;=0),1,0)</f>
        <v>0</v>
      </c>
      <c r="AC53" s="314">
        <f>IF(AND(AC51&lt;=IN!$C$47,'RF VAL_INV opz1'!AC52&lt;=0),1,0)</f>
        <v>0</v>
      </c>
      <c r="AD53" s="314">
        <f>IF(AND(AD51&lt;=IN!$C$47,'RF VAL_INV opz1'!AD52&lt;=0),1,0)</f>
        <v>0</v>
      </c>
      <c r="AE53" s="314">
        <f>IF(AND(AE51&lt;=IN!$C$47,'RF VAL_INV opz1'!AE52&lt;=0),1,0)</f>
        <v>0</v>
      </c>
      <c r="AF53" s="314">
        <f>IF(AND(AF51&lt;=IN!$C$47,'RF VAL_INV opz1'!AF52&lt;=0),1,0)</f>
        <v>0</v>
      </c>
      <c r="AG53" s="314">
        <f>IF(AND(AG51&lt;=IN!$C$47,'RF VAL_INV opz1'!AG52&lt;=0),1,0)</f>
        <v>0</v>
      </c>
    </row>
    <row r="54" spans="2:33" collapsed="1" x14ac:dyDescent="0.25">
      <c r="B54" s="221"/>
      <c r="C54" s="221"/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21"/>
      <c r="Z54" s="221"/>
      <c r="AA54" s="221"/>
      <c r="AB54" s="221"/>
      <c r="AC54" s="221"/>
      <c r="AD54" s="221"/>
      <c r="AE54" s="222"/>
      <c r="AF54" s="222"/>
      <c r="AG54" s="222"/>
    </row>
    <row r="55" spans="2:33" ht="23.25" x14ac:dyDescent="0.35">
      <c r="B55" s="175" t="s">
        <v>274</v>
      </c>
      <c r="C55" s="126"/>
      <c r="D55" s="127"/>
      <c r="E55" s="127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99"/>
    </row>
    <row r="56" spans="2:33" x14ac:dyDescent="0.25">
      <c r="B56" s="130"/>
      <c r="C56" s="278"/>
      <c r="D56" s="219"/>
      <c r="E56" s="217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99"/>
      <c r="AD56" s="99"/>
      <c r="AE56" s="99"/>
      <c r="AF56" s="99"/>
      <c r="AG56" s="99"/>
    </row>
    <row r="57" spans="2:33" x14ac:dyDescent="0.25">
      <c r="B57" s="131" t="s">
        <v>23</v>
      </c>
      <c r="C57" s="220">
        <f>IF(IN!P52&lt;&gt;0,C71,"")</f>
        <v>2.5264317806683185</v>
      </c>
      <c r="D57" s="221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21"/>
      <c r="Z57" s="221"/>
      <c r="AA57" s="221"/>
      <c r="AB57" s="221"/>
      <c r="AC57" s="221"/>
      <c r="AD57" s="221"/>
      <c r="AE57" s="222"/>
      <c r="AF57" s="222"/>
      <c r="AG57" s="222"/>
    </row>
    <row r="58" spans="2:33" x14ac:dyDescent="0.25">
      <c r="B58" s="131" t="s">
        <v>25</v>
      </c>
      <c r="C58" s="220">
        <f>IF(IN!P52&lt;&gt;0,C72,"")</f>
        <v>1.9733324280958868</v>
      </c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</row>
    <row r="59" spans="2:33" x14ac:dyDescent="0.25">
      <c r="B59" s="132"/>
      <c r="C59" s="132"/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2"/>
      <c r="T59" s="132"/>
      <c r="U59" s="132"/>
      <c r="V59" s="132"/>
      <c r="W59" s="132"/>
      <c r="X59" s="132"/>
      <c r="Y59" s="132"/>
      <c r="Z59" s="132"/>
      <c r="AA59" s="132"/>
      <c r="AB59" s="132"/>
      <c r="AC59" s="132"/>
      <c r="AD59" s="132"/>
      <c r="AE59" s="132"/>
      <c r="AF59" s="132"/>
      <c r="AG59" s="132"/>
    </row>
    <row r="60" spans="2:33" x14ac:dyDescent="0.25">
      <c r="B60" s="132"/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  <c r="AE60" s="132"/>
      <c r="AF60" s="132"/>
      <c r="AG60" s="132"/>
    </row>
    <row r="61" spans="2:33" outlineLevel="1" x14ac:dyDescent="0.25">
      <c r="B61" s="1" t="s">
        <v>275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2:33" outlineLevel="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2:33" outlineLevel="1" x14ac:dyDescent="0.25">
      <c r="B63" s="223" t="s">
        <v>143</v>
      </c>
      <c r="C63" s="224" t="str">
        <f t="shared" ref="C63:AG63" si="41">C4</f>
        <v>anno 1</v>
      </c>
      <c r="D63" s="224" t="str">
        <f t="shared" si="41"/>
        <v>anno 2</v>
      </c>
      <c r="E63" s="224" t="str">
        <f t="shared" si="41"/>
        <v>anno 3</v>
      </c>
      <c r="F63" s="224" t="str">
        <f t="shared" si="41"/>
        <v>anno 4</v>
      </c>
      <c r="G63" s="224" t="str">
        <f t="shared" si="41"/>
        <v>anno 5</v>
      </c>
      <c r="H63" s="224" t="str">
        <f t="shared" si="41"/>
        <v>anno 6</v>
      </c>
      <c r="I63" s="224" t="str">
        <f t="shared" si="41"/>
        <v>anno 7</v>
      </c>
      <c r="J63" s="224" t="str">
        <f t="shared" si="41"/>
        <v>anno 8</v>
      </c>
      <c r="K63" s="224" t="str">
        <f t="shared" si="41"/>
        <v>anno 9</v>
      </c>
      <c r="L63" s="224" t="str">
        <f t="shared" si="41"/>
        <v>anno 10</v>
      </c>
      <c r="M63" s="224" t="str">
        <f t="shared" si="41"/>
        <v>anno 11</v>
      </c>
      <c r="N63" s="224" t="str">
        <f t="shared" si="41"/>
        <v>anno 12</v>
      </c>
      <c r="O63" s="224" t="str">
        <f t="shared" si="41"/>
        <v>anno 13</v>
      </c>
      <c r="P63" s="224" t="str">
        <f t="shared" si="41"/>
        <v>anno 14</v>
      </c>
      <c r="Q63" s="224" t="str">
        <f t="shared" si="41"/>
        <v>anno 15</v>
      </c>
      <c r="R63" s="224" t="str">
        <f t="shared" si="41"/>
        <v>anno 16</v>
      </c>
      <c r="S63" s="224" t="str">
        <f t="shared" si="41"/>
        <v>anno 17</v>
      </c>
      <c r="T63" s="224" t="str">
        <f t="shared" si="41"/>
        <v>anno 18</v>
      </c>
      <c r="U63" s="224" t="str">
        <f t="shared" si="41"/>
        <v>anno 19</v>
      </c>
      <c r="V63" s="224" t="str">
        <f t="shared" si="41"/>
        <v>anno 20</v>
      </c>
      <c r="W63" s="224" t="str">
        <f t="shared" si="41"/>
        <v>anno 21</v>
      </c>
      <c r="X63" s="224" t="str">
        <f t="shared" si="41"/>
        <v>anno 22</v>
      </c>
      <c r="Y63" s="224" t="str">
        <f t="shared" si="41"/>
        <v>anno 23</v>
      </c>
      <c r="Z63" s="224" t="e">
        <f t="shared" si="41"/>
        <v>#VALUE!</v>
      </c>
      <c r="AA63" s="224" t="e">
        <f t="shared" si="41"/>
        <v>#VALUE!</v>
      </c>
      <c r="AB63" s="224" t="e">
        <f t="shared" si="41"/>
        <v>#VALUE!</v>
      </c>
      <c r="AC63" s="224" t="e">
        <f t="shared" si="41"/>
        <v>#VALUE!</v>
      </c>
      <c r="AD63" s="224" t="e">
        <f t="shared" si="41"/>
        <v>#VALUE!</v>
      </c>
      <c r="AE63" s="224" t="e">
        <f t="shared" si="41"/>
        <v>#VALUE!</v>
      </c>
      <c r="AF63" s="224" t="e">
        <f t="shared" si="41"/>
        <v>#VALUE!</v>
      </c>
      <c r="AG63" s="224" t="e">
        <f t="shared" si="41"/>
        <v>#VALUE!</v>
      </c>
    </row>
    <row r="64" spans="2:33" outlineLevel="1" x14ac:dyDescent="0.25">
      <c r="B64" s="223" t="s">
        <v>143</v>
      </c>
      <c r="C64" s="224">
        <v>1</v>
      </c>
      <c r="D64" s="225">
        <f>C64+1</f>
        <v>2</v>
      </c>
      <c r="E64" s="225">
        <f t="shared" ref="E64:AE64" si="42">D64+1</f>
        <v>3</v>
      </c>
      <c r="F64" s="225">
        <f t="shared" si="42"/>
        <v>4</v>
      </c>
      <c r="G64" s="225">
        <f t="shared" si="42"/>
        <v>5</v>
      </c>
      <c r="H64" s="225">
        <f t="shared" si="42"/>
        <v>6</v>
      </c>
      <c r="I64" s="225">
        <f t="shared" si="42"/>
        <v>7</v>
      </c>
      <c r="J64" s="225">
        <f t="shared" si="42"/>
        <v>8</v>
      </c>
      <c r="K64" s="225">
        <f t="shared" si="42"/>
        <v>9</v>
      </c>
      <c r="L64" s="225">
        <f t="shared" si="42"/>
        <v>10</v>
      </c>
      <c r="M64" s="225">
        <f t="shared" si="42"/>
        <v>11</v>
      </c>
      <c r="N64" s="225">
        <f t="shared" si="42"/>
        <v>12</v>
      </c>
      <c r="O64" s="225">
        <f t="shared" si="42"/>
        <v>13</v>
      </c>
      <c r="P64" s="225">
        <f t="shared" si="42"/>
        <v>14</v>
      </c>
      <c r="Q64" s="225">
        <f t="shared" si="42"/>
        <v>15</v>
      </c>
      <c r="R64" s="225">
        <f t="shared" si="42"/>
        <v>16</v>
      </c>
      <c r="S64" s="225">
        <f t="shared" si="42"/>
        <v>17</v>
      </c>
      <c r="T64" s="225">
        <f t="shared" si="42"/>
        <v>18</v>
      </c>
      <c r="U64" s="225">
        <f t="shared" si="42"/>
        <v>19</v>
      </c>
      <c r="V64" s="225">
        <f t="shared" si="42"/>
        <v>20</v>
      </c>
      <c r="W64" s="225">
        <f t="shared" si="42"/>
        <v>21</v>
      </c>
      <c r="X64" s="225">
        <f t="shared" si="42"/>
        <v>22</v>
      </c>
      <c r="Y64" s="225">
        <f t="shared" si="42"/>
        <v>23</v>
      </c>
      <c r="Z64" s="225">
        <f t="shared" si="42"/>
        <v>24</v>
      </c>
      <c r="AA64" s="225">
        <f t="shared" si="42"/>
        <v>25</v>
      </c>
      <c r="AB64" s="225">
        <f t="shared" si="42"/>
        <v>26</v>
      </c>
      <c r="AC64" s="225">
        <f t="shared" si="42"/>
        <v>27</v>
      </c>
      <c r="AD64" s="225">
        <f t="shared" si="42"/>
        <v>28</v>
      </c>
      <c r="AE64" s="225">
        <f t="shared" si="42"/>
        <v>29</v>
      </c>
      <c r="AF64" s="225">
        <f t="shared" ref="AF64" si="43">AE64+1</f>
        <v>30</v>
      </c>
      <c r="AG64" s="225">
        <f t="shared" ref="AG64" si="44">AF64+1</f>
        <v>31</v>
      </c>
    </row>
    <row r="65" spans="2:33" outlineLevel="1" x14ac:dyDescent="0.25">
      <c r="B65" s="22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2:33" outlineLevel="1" x14ac:dyDescent="0.25">
      <c r="B66" s="1" t="s">
        <v>276</v>
      </c>
      <c r="C66" s="112">
        <f>C11-C9</f>
        <v>1092240.2342068907</v>
      </c>
      <c r="D66" s="112">
        <f>D11-D9</f>
        <v>-770480.75381038105</v>
      </c>
      <c r="E66" s="112">
        <f>E11-E9</f>
        <v>407836.73311425088</v>
      </c>
      <c r="F66" s="112">
        <f>F11-F9</f>
        <v>408647.2293760922</v>
      </c>
      <c r="G66" s="112">
        <f>G11-G9</f>
        <v>409465.95126499585</v>
      </c>
      <c r="H66" s="112">
        <f t="shared" ref="H66:AE66" si="45">H11-H9</f>
        <v>410292.98345052171</v>
      </c>
      <c r="I66" s="112">
        <f t="shared" si="45"/>
        <v>411128.41149719013</v>
      </c>
      <c r="J66" s="112">
        <f t="shared" si="45"/>
        <v>396448.76023056323</v>
      </c>
      <c r="K66" s="112">
        <f t="shared" si="45"/>
        <v>406808.36361028993</v>
      </c>
      <c r="L66" s="112">
        <f t="shared" si="45"/>
        <v>413685.94008272677</v>
      </c>
      <c r="M66" s="112">
        <f t="shared" si="45"/>
        <v>414555.82546792401</v>
      </c>
      <c r="N66" s="112">
        <f t="shared" si="45"/>
        <v>415434.54831249075</v>
      </c>
      <c r="O66" s="112">
        <f t="shared" si="45"/>
        <v>416322.19976313104</v>
      </c>
      <c r="P66" s="112">
        <f t="shared" si="45"/>
        <v>401695.31028962263</v>
      </c>
      <c r="Q66" s="112">
        <f t="shared" si="45"/>
        <v>412108.21955860808</v>
      </c>
      <c r="R66" s="112">
        <f t="shared" si="45"/>
        <v>419039.65178696951</v>
      </c>
      <c r="S66" s="112">
        <f t="shared" si="45"/>
        <v>419963.94862957962</v>
      </c>
      <c r="T66" s="112">
        <f t="shared" si="45"/>
        <v>420897.64453294087</v>
      </c>
      <c r="U66" s="112">
        <f t="shared" si="45"/>
        <v>421840.8366095071</v>
      </c>
      <c r="V66" s="112">
        <f t="shared" si="45"/>
        <v>422793.62300529372</v>
      </c>
      <c r="W66" s="112">
        <f>W11-W9</f>
        <v>424069.57885750174</v>
      </c>
      <c r="X66" s="112">
        <f t="shared" si="45"/>
        <v>425059.22389034461</v>
      </c>
      <c r="Y66" s="112">
        <f t="shared" si="45"/>
        <v>426058.93771205528</v>
      </c>
      <c r="Z66" s="112">
        <f t="shared" si="45"/>
        <v>100960.76949933005</v>
      </c>
      <c r="AA66" s="112">
        <f t="shared" si="45"/>
        <v>0</v>
      </c>
      <c r="AB66" s="112">
        <f t="shared" si="45"/>
        <v>0</v>
      </c>
      <c r="AC66" s="112">
        <f t="shared" si="45"/>
        <v>0</v>
      </c>
      <c r="AD66" s="112">
        <f t="shared" si="45"/>
        <v>0</v>
      </c>
      <c r="AE66" s="112">
        <f t="shared" si="45"/>
        <v>0</v>
      </c>
      <c r="AF66" s="112">
        <f t="shared" ref="AF66" si="46">AF11-AF9</f>
        <v>0</v>
      </c>
      <c r="AG66" s="112">
        <f>AG11-AG9</f>
        <v>0</v>
      </c>
    </row>
    <row r="67" spans="2:33" outlineLevel="1" x14ac:dyDescent="0.25">
      <c r="B67" s="1" t="s">
        <v>277</v>
      </c>
      <c r="C67" s="226">
        <f>IN!O57</f>
        <v>155330.14604101612</v>
      </c>
      <c r="D67" s="112">
        <f>IN!O58</f>
        <v>155330.14604101612</v>
      </c>
      <c r="E67" s="112">
        <f>IN!O59</f>
        <v>155330.14604101612</v>
      </c>
      <c r="F67" s="112">
        <f>IN!O60</f>
        <v>155330.14604101612</v>
      </c>
      <c r="G67" s="112">
        <f>IN!O61</f>
        <v>155330.14604101612</v>
      </c>
      <c r="H67" s="112">
        <f>IN!O62</f>
        <v>155330.14604101612</v>
      </c>
      <c r="I67" s="112">
        <f>IN!O63</f>
        <v>155330.14604101612</v>
      </c>
      <c r="J67" s="112">
        <f>IN!O64</f>
        <v>155330.14604101612</v>
      </c>
      <c r="K67" s="112">
        <f>IN!O65</f>
        <v>155330.14604101612</v>
      </c>
      <c r="L67" s="112">
        <f>IN!O66</f>
        <v>155330.14604101612</v>
      </c>
      <c r="M67" s="112">
        <f>IN!O67</f>
        <v>155330.14604101612</v>
      </c>
      <c r="N67" s="112">
        <f>IN!O68</f>
        <v>155330.14604101612</v>
      </c>
      <c r="O67" s="112">
        <f>IN!O69</f>
        <v>155330.14604101612</v>
      </c>
      <c r="P67" s="112">
        <f>IN!O70</f>
        <v>155330.14604101612</v>
      </c>
      <c r="Q67" s="112">
        <f>IN!O71</f>
        <v>155330.14604101612</v>
      </c>
      <c r="R67" s="112">
        <f>IN!O72</f>
        <v>155330.14604101612</v>
      </c>
      <c r="S67" s="112">
        <f>IN!O73</f>
        <v>155330.14604101612</v>
      </c>
      <c r="T67" s="112">
        <f>IN!O74</f>
        <v>155330.14604101612</v>
      </c>
      <c r="U67" s="112">
        <f>IN!O75</f>
        <v>155330.14604101612</v>
      </c>
      <c r="V67" s="112">
        <f>IN!O76</f>
        <v>155330.14604101612</v>
      </c>
      <c r="W67" s="112">
        <f>IN!O77</f>
        <v>155330.14604101612</v>
      </c>
      <c r="X67" s="112">
        <f>IN!O78</f>
        <v>155330.14604101612</v>
      </c>
      <c r="Y67" s="112">
        <f>IN!O79</f>
        <v>155330.14604101612</v>
      </c>
      <c r="Z67" s="112">
        <f>IN!O80</f>
        <v>0</v>
      </c>
      <c r="AA67" s="112">
        <f>IN!O81</f>
        <v>0</v>
      </c>
      <c r="AB67" s="112">
        <f>IN!O82</f>
        <v>0</v>
      </c>
      <c r="AC67" s="112">
        <f>IN!O83</f>
        <v>0</v>
      </c>
      <c r="AD67" s="112">
        <f>IN!O84</f>
        <v>0</v>
      </c>
      <c r="AE67" s="112">
        <f>IN!O85</f>
        <v>0</v>
      </c>
      <c r="AF67" s="112">
        <f>IN!O86</f>
        <v>0</v>
      </c>
      <c r="AG67" s="112"/>
    </row>
    <row r="68" spans="2:33" outlineLevel="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2:33" outlineLevel="1" x14ac:dyDescent="0.25">
      <c r="B69" s="1" t="s">
        <v>278</v>
      </c>
      <c r="C69" s="227">
        <f>IF(C64&lt;=IN!$C$48,C66/C67,0)</f>
        <v>7.0317337750939615</v>
      </c>
      <c r="D69" s="227">
        <f>IF(D64&lt;=IN!$C$48,D66/D67,0)</f>
        <v>-4.9602783068711576</v>
      </c>
      <c r="E69" s="227">
        <f>IF(E64&lt;=IN!$C$48,E66/E67,0)</f>
        <v>2.6256122427552371</v>
      </c>
      <c r="F69" s="227">
        <f>IF(F64&lt;=IN!$C$48,F66/F67,0)</f>
        <v>2.6308301369148634</v>
      </c>
      <c r="G69" s="227">
        <f>IF(G64&lt;=IN!$C$48,G66/G67,0)</f>
        <v>2.6361009868417504</v>
      </c>
      <c r="H69" s="227">
        <f>IF(H64&lt;=IN!$C$48,H66/H67,0)</f>
        <v>2.6414253376300869</v>
      </c>
      <c r="I69" s="227">
        <f>IF(I64&lt;=IN!$C$48,I66/I67,0)</f>
        <v>2.6468037401357267</v>
      </c>
      <c r="J69" s="227">
        <f>IF(J64&lt;=IN!$C$48,J66/J67,0)</f>
        <v>2.5522976082561453</v>
      </c>
      <c r="K69" s="227">
        <f>IF(K64&lt;=IN!$C$48,K66/K67,0)</f>
        <v>2.6189917023761056</v>
      </c>
      <c r="L69" s="227">
        <f>IF(L64&lt;=IN!$C$48,L66/L67,0)</f>
        <v>2.6632688542859531</v>
      </c>
      <c r="M69" s="227">
        <f>IF(M64&lt;=IN!$C$48,M66/M67,0)</f>
        <v>2.6688690897030209</v>
      </c>
      <c r="N69" s="227">
        <f>IF(N64&lt;=IN!$C$48,N66/N67,0)</f>
        <v>2.6745262198027682</v>
      </c>
      <c r="O69" s="227">
        <f>IF(O64&lt;=IN!$C$48,O66/O67,0)</f>
        <v>2.6802408313785913</v>
      </c>
      <c r="P69" s="227">
        <f>IF(P64&lt;=IN!$C$48,P66/P67,0)</f>
        <v>2.5860743746648631</v>
      </c>
      <c r="Q69" s="227">
        <f>IF(Q64&lt;=IN!$C$48,Q66/Q67,0)</f>
        <v>2.6531116467874027</v>
      </c>
      <c r="R69" s="227">
        <f>IF(R64&lt;=IN!$C$48,R66/R67,0)</f>
        <v>2.6977355166866248</v>
      </c>
      <c r="S69" s="227">
        <f>IF(S64&lt;=IN!$C$48,S66/S67,0)</f>
        <v>2.7036860476438673</v>
      </c>
      <c r="T69" s="227">
        <f>IF(T64&lt;=IN!$C$48,T66/T67,0)</f>
        <v>2.7096970888175154</v>
      </c>
      <c r="U69" s="227">
        <f>IF(U64&lt;=IN!$C$48,U66/U67,0)</f>
        <v>2.7157692654078671</v>
      </c>
      <c r="V69" s="227">
        <f>IF(V64&lt;=IN!$C$48,V66/V67,0)</f>
        <v>2.7219032092691897</v>
      </c>
      <c r="W69" s="227">
        <f>IF(W64&lt;=IN!$C$48,W66/W67,0)</f>
        <v>2.7301176858838652</v>
      </c>
      <c r="X69" s="227">
        <f>IF(X64&lt;=IN!$C$48,X66/X67,0)</f>
        <v>2.7364889219772217</v>
      </c>
      <c r="Y69" s="227">
        <f>IF(Y64&lt;=IN!$C$48,Y66/Y67,0)</f>
        <v>2.7429249799298532</v>
      </c>
      <c r="Z69" s="227">
        <f>IF(Z64&lt;=IN!$C$48,Z66/Z67,0)</f>
        <v>0</v>
      </c>
      <c r="AA69" s="227">
        <f>IF(AA64&lt;=IN!$C$48,AA66/AA67,0)</f>
        <v>0</v>
      </c>
      <c r="AB69" s="227">
        <f>IF(AB64&lt;=IN!$C$48,AB66/AB67,0)</f>
        <v>0</v>
      </c>
      <c r="AC69" s="227">
        <f>IF(AC64&lt;=IN!$C$48,AC66/AC67,0)</f>
        <v>0</v>
      </c>
      <c r="AD69" s="227">
        <f>IF(AD64&lt;=IN!$C$48,AD66/AD67,0)</f>
        <v>0</v>
      </c>
      <c r="AE69" s="227">
        <f>IF(AE64&lt;=IN!$C$48,AE66/AE67,0)</f>
        <v>0</v>
      </c>
      <c r="AF69" s="227">
        <f>IF(AF64&lt;=IN!$C$48,AF66/AF67,0)</f>
        <v>0</v>
      </c>
      <c r="AG69" s="227"/>
    </row>
    <row r="70" spans="2:33" outlineLevel="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2:33" outlineLevel="1" x14ac:dyDescent="0.25">
      <c r="B71" s="223" t="s">
        <v>23</v>
      </c>
      <c r="C71" s="227">
        <f>SUM($C$69:$AF$69)/IN!$C$48</f>
        <v>2.5264317806683185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2:33" outlineLevel="1" x14ac:dyDescent="0.25">
      <c r="B72" s="223" t="s">
        <v>25</v>
      </c>
      <c r="C72" s="227">
        <f>NPV(IN!$C$44,$C$66:$Y$66)/(IN!$Q$52)</f>
        <v>1.9733324280958868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2:33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2:33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2:33" x14ac:dyDescent="0.25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</row>
    <row r="76" spans="2:33" x14ac:dyDescent="0.25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</row>
    <row r="77" spans="2:33" x14ac:dyDescent="0.25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</row>
    <row r="78" spans="2:33" x14ac:dyDescent="0.25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</row>
    <row r="79" spans="2:33" x14ac:dyDescent="0.25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</row>
    <row r="80" spans="2:33" x14ac:dyDescent="0.25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</row>
    <row r="81" spans="2:33" x14ac:dyDescent="0.25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</row>
  </sheetData>
  <mergeCells count="2">
    <mergeCell ref="B4:B5"/>
    <mergeCell ref="B21:B22"/>
  </mergeCells>
  <conditionalFormatting sqref="AH25">
    <cfRule type="cellIs" dxfId="17" priority="11" operator="equal">
      <formula>0</formula>
    </cfRule>
  </conditionalFormatting>
  <pageMargins left="7.874015748031496E-2" right="7.874015748031496E-2" top="0.59055118110236227" bottom="0.59055118110236227" header="0" footer="7.874015748031496E-2"/>
  <pageSetup paperSize="9" scale="47" orientation="landscape" r:id="rId1"/>
  <headerFooter scaleWithDoc="0" alignWithMargins="0">
    <oddFooter>&amp;CRendiconto finanziario e valutazione investimento  - Ipotesi 1&amp;RPag 5</oddFooter>
  </headerFooter>
  <ignoredErrors>
    <ignoredError sqref="AH65 AG74:AH76 AH68 AH67 AH66 C74:Y76 Z74:AE76 AH63:AH64 Z73:AE73 Z71:AE71 Z72:AE72 Z70:AE70 C73:Y73 D71:Y71 D72:Y72 C70:Y70 AH69 AG70:AH70 AG72:AH72 AG71:AH71 AG73:AH73 AF73 AI73 AI71 AI72 AF70 AI70 AI69 AF72 AF71 C69:AG69 C63:AE65 Z68:AE68 Z67:AF67 Z66:AE66 C67 C68:Y68 D67:Y67 H66:W66 X66:Y66 AG68 AG65 AF63:AG64 AF65 AF68 AF66:AG66 AG67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" operator="greaterThan" id="{621333F3-3F62-4D08-9BCA-DFD6FA50F5DE}">
            <xm:f>IN!$C$52+1</xm:f>
            <x14:dxf>
              <font>
                <color rgb="FF353599"/>
              </font>
            </x14:dxf>
          </x14:cfRule>
          <xm:sqref>Z4:AG4</xm:sqref>
        </x14:conditionalFormatting>
        <x14:conditionalFormatting xmlns:xm="http://schemas.microsoft.com/office/excel/2006/main">
          <x14:cfRule type="cellIs" priority="9" operator="greaterThan" id="{D5A5272A-1F8A-4F20-9EB5-6A5CF74B76E4}">
            <xm:f>IN!$C$47+1</xm:f>
            <x14:dxf>
              <font>
                <color rgb="FF353599"/>
              </font>
            </x14:dxf>
          </x14:cfRule>
          <xm:sqref>C5:AG5</xm:sqref>
        </x14:conditionalFormatting>
        <x14:conditionalFormatting xmlns:xm="http://schemas.microsoft.com/office/excel/2006/main">
          <x14:cfRule type="cellIs" priority="5" operator="greaterThan" id="{E82DBB86-27C9-4C02-A43E-6E358F77467B}">
            <xm:f>IN!$C$52+1</xm:f>
            <x14:dxf>
              <font>
                <color rgb="FF353599"/>
              </font>
            </x14:dxf>
          </x14:cfRule>
          <xm:sqref>Z21:AG21</xm:sqref>
        </x14:conditionalFormatting>
        <x14:conditionalFormatting xmlns:xm="http://schemas.microsoft.com/office/excel/2006/main">
          <x14:cfRule type="cellIs" priority="6" operator="greaterThan" id="{FE962B02-193F-4974-8D8A-C90110A433D6}">
            <xm:f>IN!$C$47+1</xm:f>
            <x14:dxf>
              <font>
                <color rgb="FF353599"/>
              </font>
            </x14:dxf>
          </x14:cfRule>
          <xm:sqref>C22:AG22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4BCA5-C178-4B6B-A042-8150D1218F98}">
  <sheetPr codeName="Foglio9">
    <tabColor rgb="FF92D050"/>
    <pageSetUpPr fitToPage="1"/>
  </sheetPr>
  <dimension ref="B1:AP27"/>
  <sheetViews>
    <sheetView zoomScaleNormal="100" workbookViewId="0">
      <selection activeCell="C6" sqref="C6:Y6"/>
    </sheetView>
  </sheetViews>
  <sheetFormatPr defaultRowHeight="15" outlineLevelRow="2" x14ac:dyDescent="0.25"/>
  <cols>
    <col min="1" max="1" width="2.7109375" customWidth="1"/>
    <col min="2" max="2" width="49" customWidth="1"/>
    <col min="3" max="4" width="11.7109375" customWidth="1"/>
    <col min="5" max="5" width="13.28515625" customWidth="1"/>
    <col min="6" max="6" width="14.140625" customWidth="1"/>
    <col min="7" max="7" width="13.140625" customWidth="1"/>
    <col min="8" max="32" width="11.7109375" customWidth="1"/>
    <col min="33" max="34" width="13.85546875" customWidth="1"/>
  </cols>
  <sheetData>
    <row r="1" spans="2:42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2:42" x14ac:dyDescent="0.25">
      <c r="B2" s="4"/>
      <c r="C2" s="388"/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</row>
    <row r="3" spans="2:42" x14ac:dyDescent="0.25">
      <c r="B3" s="354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2:42" ht="23.25" outlineLevel="1" x14ac:dyDescent="0.35">
      <c r="B4" s="175" t="s">
        <v>279</v>
      </c>
      <c r="C4" s="390"/>
      <c r="D4" s="328"/>
      <c r="E4" s="328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2:42" outlineLevel="1" x14ac:dyDescent="0.25">
      <c r="B5" s="334" t="s">
        <v>206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2:42" outlineLevel="1" x14ac:dyDescent="0.25">
      <c r="B6" s="805" t="s">
        <v>143</v>
      </c>
      <c r="C6" s="467" t="s">
        <v>329</v>
      </c>
      <c r="D6" s="467" t="s">
        <v>330</v>
      </c>
      <c r="E6" s="467" t="s">
        <v>331</v>
      </c>
      <c r="F6" s="467" t="s">
        <v>332</v>
      </c>
      <c r="G6" s="467" t="s">
        <v>333</v>
      </c>
      <c r="H6" s="467" t="s">
        <v>334</v>
      </c>
      <c r="I6" s="467" t="s">
        <v>335</v>
      </c>
      <c r="J6" s="467" t="s">
        <v>336</v>
      </c>
      <c r="K6" s="467" t="s">
        <v>337</v>
      </c>
      <c r="L6" s="467" t="s">
        <v>338</v>
      </c>
      <c r="M6" s="467" t="s">
        <v>339</v>
      </c>
      <c r="N6" s="467" t="s">
        <v>340</v>
      </c>
      <c r="O6" s="467" t="s">
        <v>341</v>
      </c>
      <c r="P6" s="467" t="s">
        <v>342</v>
      </c>
      <c r="Q6" s="467" t="s">
        <v>343</v>
      </c>
      <c r="R6" s="467" t="s">
        <v>344</v>
      </c>
      <c r="S6" s="467" t="s">
        <v>345</v>
      </c>
      <c r="T6" s="467" t="s">
        <v>346</v>
      </c>
      <c r="U6" s="467" t="s">
        <v>347</v>
      </c>
      <c r="V6" s="467" t="s">
        <v>348</v>
      </c>
      <c r="W6" s="467" t="s">
        <v>349</v>
      </c>
      <c r="X6" s="467" t="s">
        <v>350</v>
      </c>
      <c r="Y6" s="467" t="s">
        <v>351</v>
      </c>
      <c r="Z6" s="212" t="e">
        <f t="shared" ref="Z6:Z7" si="0">Y6+1</f>
        <v>#VALUE!</v>
      </c>
      <c r="AA6" s="212" t="e">
        <f t="shared" ref="AA6:AA7" si="1">Z6+1</f>
        <v>#VALUE!</v>
      </c>
      <c r="AB6" s="212" t="e">
        <f t="shared" ref="AB6:AB7" si="2">AA6+1</f>
        <v>#VALUE!</v>
      </c>
      <c r="AC6" s="212" t="e">
        <f t="shared" ref="AC6:AC7" si="3">AB6+1</f>
        <v>#VALUE!</v>
      </c>
      <c r="AD6" s="212" t="e">
        <f t="shared" ref="AD6:AD7" si="4">AC6+1</f>
        <v>#VALUE!</v>
      </c>
      <c r="AE6" s="212" t="e">
        <f t="shared" ref="AE6:AE7" si="5">AD6+1</f>
        <v>#VALUE!</v>
      </c>
      <c r="AF6" s="212" t="e">
        <f t="shared" ref="AF6:AF7" si="6">AE6+1</f>
        <v>#VALUE!</v>
      </c>
    </row>
    <row r="7" spans="2:42" outlineLevel="1" x14ac:dyDescent="0.25">
      <c r="B7" s="806"/>
      <c r="C7" s="211">
        <v>1</v>
      </c>
      <c r="D7" s="212">
        <f t="shared" ref="D6:D7" si="7">C7+1</f>
        <v>2</v>
      </c>
      <c r="E7" s="212">
        <f t="shared" ref="E6:E7" si="8">D7+1</f>
        <v>3</v>
      </c>
      <c r="F7" s="212">
        <f t="shared" ref="F6:F7" si="9">E7+1</f>
        <v>4</v>
      </c>
      <c r="G7" s="212">
        <f t="shared" ref="G6:G7" si="10">F7+1</f>
        <v>5</v>
      </c>
      <c r="H7" s="212">
        <f t="shared" ref="H6:H7" si="11">G7+1</f>
        <v>6</v>
      </c>
      <c r="I7" s="212">
        <f t="shared" ref="I6:I7" si="12">H7+1</f>
        <v>7</v>
      </c>
      <c r="J7" s="212">
        <f t="shared" ref="J6:J7" si="13">I7+1</f>
        <v>8</v>
      </c>
      <c r="K7" s="212">
        <f t="shared" ref="K6:K7" si="14">J7+1</f>
        <v>9</v>
      </c>
      <c r="L7" s="212">
        <f t="shared" ref="L6:L7" si="15">K7+1</f>
        <v>10</v>
      </c>
      <c r="M7" s="212">
        <f t="shared" ref="M6:M7" si="16">L7+1</f>
        <v>11</v>
      </c>
      <c r="N7" s="212">
        <f t="shared" ref="N6:N7" si="17">M7+1</f>
        <v>12</v>
      </c>
      <c r="O7" s="212">
        <f t="shared" ref="O6:O7" si="18">N7+1</f>
        <v>13</v>
      </c>
      <c r="P7" s="212">
        <f t="shared" ref="P6:P7" si="19">O7+1</f>
        <v>14</v>
      </c>
      <c r="Q7" s="212">
        <f t="shared" ref="Q6:Q7" si="20">P7+1</f>
        <v>15</v>
      </c>
      <c r="R7" s="212">
        <f t="shared" ref="R6:R7" si="21">Q7+1</f>
        <v>16</v>
      </c>
      <c r="S7" s="212">
        <f t="shared" ref="S6:S7" si="22">R7+1</f>
        <v>17</v>
      </c>
      <c r="T7" s="212">
        <f t="shared" ref="T6:T7" si="23">S7+1</f>
        <v>18</v>
      </c>
      <c r="U7" s="212">
        <f t="shared" ref="U6:U7" si="24">T7+1</f>
        <v>19</v>
      </c>
      <c r="V7" s="212">
        <f t="shared" ref="V6:V7" si="25">U7+1</f>
        <v>20</v>
      </c>
      <c r="W7" s="212">
        <f t="shared" ref="W6:W7" si="26">V7+1</f>
        <v>21</v>
      </c>
      <c r="X7" s="212">
        <f t="shared" ref="X6:X7" si="27">W7+1</f>
        <v>22</v>
      </c>
      <c r="Y7" s="212">
        <f t="shared" ref="Y6:Y7" si="28">X7+1</f>
        <v>23</v>
      </c>
      <c r="Z7" s="212">
        <f t="shared" si="0"/>
        <v>24</v>
      </c>
      <c r="AA7" s="212">
        <f t="shared" si="1"/>
        <v>25</v>
      </c>
      <c r="AB7" s="212">
        <f t="shared" si="2"/>
        <v>26</v>
      </c>
      <c r="AC7" s="212">
        <f t="shared" si="3"/>
        <v>27</v>
      </c>
      <c r="AD7" s="212">
        <f t="shared" si="4"/>
        <v>28</v>
      </c>
      <c r="AE7" s="212">
        <f t="shared" si="5"/>
        <v>29</v>
      </c>
      <c r="AF7" s="212">
        <f t="shared" si="6"/>
        <v>30</v>
      </c>
    </row>
    <row r="8" spans="2:42" s="330" customFormat="1" outlineLevel="1" x14ac:dyDescent="0.2">
      <c r="B8" s="340" t="s">
        <v>280</v>
      </c>
      <c r="C8" s="324">
        <f>Investimenti!G33-Investimenti!G41</f>
        <v>5172633.5159546323</v>
      </c>
      <c r="D8" s="324">
        <f>IF(D7&lt;=IN!$C$47,SUM(Investimenti!$G$33:H33)-SUM(Investimenti!$G$41:H41),0)</f>
        <v>4937513.8106839666</v>
      </c>
      <c r="E8" s="324">
        <f>IF(E7&lt;=IN!$C$47,SUM(Investimenti!$G$33:I33)-SUM(Investimenti!$G$41:I41),0)</f>
        <v>4702394.1054133018</v>
      </c>
      <c r="F8" s="324">
        <f>IF(F7&lt;=IN!$C$47,SUM(Investimenti!$G$33:J33)-SUM(Investimenti!$G$41:J41),0)</f>
        <v>4467274.4001426371</v>
      </c>
      <c r="G8" s="324">
        <f>IF(G7&lt;=IN!$C$47,SUM(Investimenti!$G$33:K33)-SUM(Investimenti!$G$41:K41),0)</f>
        <v>4232154.6948719714</v>
      </c>
      <c r="H8" s="324">
        <f>IF(H7&lt;=IN!$C$47,SUM(Investimenti!$G$33:L33)-SUM(Investimenti!$G$41:L41),0)</f>
        <v>3997034.9896013066</v>
      </c>
      <c r="I8" s="324">
        <f>IF(I7&lt;=IN!$C$47,SUM(Investimenti!$G$33:M33)-SUM(Investimenti!$G$41:M41),0)</f>
        <v>3761915.2843306419</v>
      </c>
      <c r="J8" s="324">
        <f>IF(J7&lt;=IN!$C$47,SUM(Investimenti!$G$33:N33)-SUM(Investimenti!$G$41:N41),0)</f>
        <v>3526795.5790599766</v>
      </c>
      <c r="K8" s="324">
        <f>IF(K7&lt;=IN!$C$47,SUM(Investimenti!$G$33:O33)-SUM(Investimenti!$G$41:O41),0)</f>
        <v>3291675.8737893114</v>
      </c>
      <c r="L8" s="324">
        <f>IF(L7&lt;=IN!$C$47,SUM(Investimenti!$G$33:P33)-SUM(Investimenti!$G$41:P41),0)</f>
        <v>3056556.1685186462</v>
      </c>
      <c r="M8" s="324">
        <f>IF(M7&lt;=IN!$C$47,SUM(Investimenti!$G$33:Q33)-SUM(Investimenti!$G$41:Q41),0)</f>
        <v>2821436.4632479809</v>
      </c>
      <c r="N8" s="324">
        <f>IF(N7&lt;=IN!$C$47,SUM(Investimenti!$G$33:R33)-SUM(Investimenti!$G$41:R41),0)</f>
        <v>2586316.7579773157</v>
      </c>
      <c r="O8" s="324">
        <f>IF(O7&lt;=IN!$C$47,SUM(Investimenti!$G$33:S33)-SUM(Investimenti!$G$41:S41),0)</f>
        <v>2351197.0527066505</v>
      </c>
      <c r="P8" s="324">
        <f>IF(P7&lt;=IN!$C$47,SUM(Investimenti!$G$33:T33)-SUM(Investimenti!$G$41:T41),0)</f>
        <v>2116077.3474359852</v>
      </c>
      <c r="Q8" s="324">
        <f>IF(Q7&lt;=IN!$C$47,SUM(Investimenti!$G$33:U33)-SUM(Investimenti!$G$41:U41),0)</f>
        <v>1880957.64216532</v>
      </c>
      <c r="R8" s="324">
        <f>IF(R7&lt;=IN!$C$47,SUM(Investimenti!$G$33:V33)-SUM(Investimenti!$G$41:V41),0)</f>
        <v>1645837.9368946548</v>
      </c>
      <c r="S8" s="324">
        <f>IF(S7&lt;=IN!$C$47,SUM(Investimenti!$G$33:W33)-SUM(Investimenti!$G$41:W41),0)</f>
        <v>1410718.2316239895</v>
      </c>
      <c r="T8" s="324">
        <f>IF(T7&lt;=IN!$C$47,SUM(Investimenti!$G$33:X33)-SUM(Investimenti!$G$41:X41),0)</f>
        <v>1175598.5263533248</v>
      </c>
      <c r="U8" s="324">
        <f>IF(U7&lt;=IN!$C$47,SUM(Investimenti!$G$33:Y33)-SUM(Investimenti!$G$41:Y41),0)</f>
        <v>940478.82108266</v>
      </c>
      <c r="V8" s="324">
        <f>IF(V7&lt;=IN!$C$47,SUM(Investimenti!$G$33:Z33)-SUM(Investimenti!$G$41:Z41),0)</f>
        <v>705359.11581199523</v>
      </c>
      <c r="W8" s="324">
        <f>IF(W7&lt;=IN!$C$47,SUM(Investimenti!$G$33:AA33)-SUM(Investimenti!$G$41:AA41),0)</f>
        <v>470239.41054133046</v>
      </c>
      <c r="X8" s="324">
        <f>IF(X7&lt;=IN!$C$47,SUM(Investimenti!$G$33:AB33)-SUM(Investimenti!$G$41:AB41),0)</f>
        <v>235119.7052706657</v>
      </c>
      <c r="Y8" s="324">
        <f>IF(Y7&lt;=IN!$C$47,SUM(Investimenti!$G$33:AC33)-SUM(Investimenti!$G$41:AC41),0)</f>
        <v>9.3132257461547852E-10</v>
      </c>
      <c r="Z8" s="324">
        <f>IF(Z7&lt;=IN!$C$47,SUM(Investimenti!$G$33:AD33)-SUM(Investimenti!$G$41:AD41),0)</f>
        <v>0</v>
      </c>
      <c r="AA8" s="324">
        <f>IF(AA7&lt;=IN!$C$47,SUM(Investimenti!$G$33:AE33)-SUM(Investimenti!$G$41:AE41),0)</f>
        <v>0</v>
      </c>
      <c r="AB8" s="324">
        <f>IF(AB7&lt;=IN!$C$47,SUM(Investimenti!$G$33:AF33)-SUM(Investimenti!$G$41:AF41),0)</f>
        <v>0</v>
      </c>
      <c r="AC8" s="324">
        <f>IF(AC7&lt;=IN!$C$47,SUM(Investimenti!$G$33:AG33)-SUM(Investimenti!$G$41:AG41),0)</f>
        <v>0</v>
      </c>
      <c r="AD8" s="324">
        <f>IF(AD7&lt;=IN!$C$47,SUM(Investimenti!$G$33:AH33)-SUM(Investimenti!$G$41:AH41),0)</f>
        <v>0</v>
      </c>
      <c r="AE8" s="324">
        <f>IF(AE7&lt;=IN!$C$47,SUM(Investimenti!$G$33:AI33)-SUM(Investimenti!$G$41:AI41),0)</f>
        <v>0</v>
      </c>
      <c r="AF8" s="324">
        <f>IF(AF7&lt;=IN!$C$47,SUM(Investimenti!$G$33:AJ33)-SUM(Investimenti!$G$41:AJ41),0)</f>
        <v>0</v>
      </c>
      <c r="AG8" s="329"/>
      <c r="AH8" s="329"/>
      <c r="AI8" s="329"/>
      <c r="AJ8" s="329"/>
      <c r="AK8" s="329"/>
      <c r="AL8" s="329"/>
      <c r="AM8" s="329"/>
      <c r="AN8" s="329"/>
      <c r="AO8" s="329"/>
      <c r="AP8" s="329"/>
    </row>
    <row r="9" spans="2:42" s="330" customFormat="1" outlineLevel="1" x14ac:dyDescent="0.2">
      <c r="B9" s="340" t="s">
        <v>281</v>
      </c>
      <c r="C9" s="324">
        <f>'CE CC opz1'!C84</f>
        <v>-1082105.6532835755</v>
      </c>
      <c r="D9" s="324">
        <f>'CE CC opz1'!D84</f>
        <v>95635.949243070994</v>
      </c>
      <c r="E9" s="324">
        <f>'CE CC opz1'!E84</f>
        <v>95864.716537476314</v>
      </c>
      <c r="F9" s="324">
        <f>'CE CC opz1'!F84</f>
        <v>96095.80472928939</v>
      </c>
      <c r="G9" s="324">
        <f>'CE CC opz1'!G84</f>
        <v>96329.237691973613</v>
      </c>
      <c r="H9" s="324">
        <f>'CE CC opz1'!H84</f>
        <v>96565.039551016787</v>
      </c>
      <c r="I9" s="324">
        <f>'CE CC opz1'!I84</f>
        <v>96803.234686717042</v>
      </c>
      <c r="J9" s="324">
        <f>'CE CC opz1'!J84</f>
        <v>91027.409380838129</v>
      </c>
      <c r="K9" s="324">
        <f>'CE CC opz1'!K84</f>
        <v>97286.90360028336</v>
      </c>
      <c r="L9" s="324">
        <f>'CE CC opz1'!L84</f>
        <v>97532.427438339524</v>
      </c>
      <c r="M9" s="324">
        <f>'CE CC opz1'!M84</f>
        <v>97780.444679241569</v>
      </c>
      <c r="N9" s="324">
        <f>'CE CC opz1'!N84</f>
        <v>98030.981020307227</v>
      </c>
      <c r="O9" s="324">
        <f>'CE CC opz1'!O84</f>
        <v>98284.06243109332</v>
      </c>
      <c r="P9" s="324">
        <f>'CE CC opz1'!P84</f>
        <v>92523.276800258813</v>
      </c>
      <c r="Q9" s="324">
        <f>'CE CC opz1'!Q84</f>
        <v>98797.965719450978</v>
      </c>
      <c r="R9" s="324">
        <f>'CE CC opz1'!R84</f>
        <v>99058.840924762568</v>
      </c>
      <c r="S9" s="324">
        <f>'CE CC opz1'!S84</f>
        <v>99322.367861513892</v>
      </c>
      <c r="T9" s="324">
        <f>'CE CC opz1'!T84</f>
        <v>99588.573906607067</v>
      </c>
      <c r="U9" s="324">
        <f>'CE CC opz1'!U84</f>
        <v>99857.486727905023</v>
      </c>
      <c r="V9" s="324">
        <f>'CE CC opz1'!V84</f>
        <v>100129.13428748482</v>
      </c>
      <c r="W9" s="324">
        <f>'CE CC opz1'!W84</f>
        <v>100403.54484493069</v>
      </c>
      <c r="X9" s="324">
        <f>'CE CC opz1'!X84</f>
        <v>100680.7469606667</v>
      </c>
      <c r="Y9" s="324">
        <f>'CE CC opz1'!Y84</f>
        <v>100960.76949933005</v>
      </c>
      <c r="Z9" s="324">
        <f>'CE CC opz1'!Z84</f>
        <v>0</v>
      </c>
      <c r="AA9" s="324">
        <f>'CE CC opz1'!AA84</f>
        <v>0</v>
      </c>
      <c r="AB9" s="324">
        <f>'CE CC opz1'!AB84</f>
        <v>0</v>
      </c>
      <c r="AC9" s="324">
        <f>'CE CC opz1'!AC84</f>
        <v>0</v>
      </c>
      <c r="AD9" s="324">
        <f>'CE CC opz1'!AD84</f>
        <v>0</v>
      </c>
      <c r="AE9" s="324">
        <f>'CE CC opz1'!AE84</f>
        <v>0</v>
      </c>
      <c r="AF9" s="324">
        <f>'CE CC opz1'!AF84</f>
        <v>0</v>
      </c>
      <c r="AG9" s="331"/>
      <c r="AH9" s="331"/>
      <c r="AI9" s="331"/>
      <c r="AJ9" s="331"/>
      <c r="AK9" s="331"/>
      <c r="AL9" s="331"/>
      <c r="AM9" s="331"/>
      <c r="AN9" s="331"/>
      <c r="AO9" s="331"/>
      <c r="AP9" s="331"/>
    </row>
    <row r="10" spans="2:42" s="330" customFormat="1" outlineLevel="1" x14ac:dyDescent="0.2">
      <c r="B10" s="341" t="s">
        <v>282</v>
      </c>
      <c r="C10" s="338">
        <f>C8+C9</f>
        <v>4090527.8626710568</v>
      </c>
      <c r="D10" s="338">
        <f t="shared" ref="D10:AB10" si="29">D8+D9</f>
        <v>5033149.7599270372</v>
      </c>
      <c r="E10" s="338">
        <f t="shared" si="29"/>
        <v>4798258.8219507784</v>
      </c>
      <c r="F10" s="338">
        <f t="shared" si="29"/>
        <v>4563370.2048719265</v>
      </c>
      <c r="G10" s="338">
        <f t="shared" si="29"/>
        <v>4328483.9325639447</v>
      </c>
      <c r="H10" s="338">
        <f t="shared" si="29"/>
        <v>4093600.0291523235</v>
      </c>
      <c r="I10" s="338">
        <f t="shared" si="29"/>
        <v>3858718.5190173588</v>
      </c>
      <c r="J10" s="338">
        <f t="shared" si="29"/>
        <v>3617822.9884408149</v>
      </c>
      <c r="K10" s="338">
        <f t="shared" si="29"/>
        <v>3388962.7773895948</v>
      </c>
      <c r="L10" s="338">
        <f t="shared" si="29"/>
        <v>3154088.5959569858</v>
      </c>
      <c r="M10" s="338">
        <f t="shared" si="29"/>
        <v>2919216.9079272225</v>
      </c>
      <c r="N10" s="338">
        <f t="shared" si="29"/>
        <v>2684347.7389976229</v>
      </c>
      <c r="O10" s="338">
        <f t="shared" si="29"/>
        <v>2449481.1151377438</v>
      </c>
      <c r="P10" s="338">
        <f t="shared" si="29"/>
        <v>2208600.6242362442</v>
      </c>
      <c r="Q10" s="338">
        <f t="shared" si="29"/>
        <v>1979755.607884771</v>
      </c>
      <c r="R10" s="338">
        <f t="shared" si="29"/>
        <v>1744896.7778194174</v>
      </c>
      <c r="S10" s="338">
        <f t="shared" si="29"/>
        <v>1510040.5994855035</v>
      </c>
      <c r="T10" s="338">
        <f t="shared" si="29"/>
        <v>1275187.1002599318</v>
      </c>
      <c r="U10" s="338">
        <f t="shared" si="29"/>
        <v>1040336.307810565</v>
      </c>
      <c r="V10" s="338">
        <f t="shared" si="29"/>
        <v>805488.25009948004</v>
      </c>
      <c r="W10" s="338">
        <f t="shared" si="29"/>
        <v>570642.95538626111</v>
      </c>
      <c r="X10" s="338">
        <f t="shared" si="29"/>
        <v>335800.45223133243</v>
      </c>
      <c r="Y10" s="338">
        <f t="shared" si="29"/>
        <v>100960.76949933099</v>
      </c>
      <c r="Z10" s="338">
        <f t="shared" si="29"/>
        <v>0</v>
      </c>
      <c r="AA10" s="338">
        <f t="shared" si="29"/>
        <v>0</v>
      </c>
      <c r="AB10" s="338">
        <f t="shared" si="29"/>
        <v>0</v>
      </c>
      <c r="AC10" s="338">
        <f>AC8+AC9</f>
        <v>0</v>
      </c>
      <c r="AD10" s="338">
        <f>AD8+AD9</f>
        <v>0</v>
      </c>
      <c r="AE10" s="338">
        <f>AE8+AE9</f>
        <v>0</v>
      </c>
      <c r="AF10" s="338">
        <f>AF8+AF9</f>
        <v>0</v>
      </c>
      <c r="AG10" s="332"/>
      <c r="AH10" s="332"/>
      <c r="AI10" s="332"/>
      <c r="AJ10" s="332"/>
      <c r="AK10" s="332"/>
      <c r="AL10" s="332"/>
      <c r="AM10" s="332"/>
      <c r="AN10" s="332"/>
      <c r="AO10" s="332"/>
      <c r="AP10" s="332"/>
    </row>
    <row r="11" spans="2:42" s="330" customFormat="1" outlineLevel="1" x14ac:dyDescent="0.2">
      <c r="B11" s="652" t="s">
        <v>501</v>
      </c>
      <c r="C11" s="337">
        <f>-'RF VAL_INV opz1'!C30</f>
        <v>1788501.107651615</v>
      </c>
      <c r="D11" s="337">
        <f>IN!Q53</f>
        <v>2796889.9660177235</v>
      </c>
      <c r="E11" s="337">
        <f>D11</f>
        <v>2796889.9660177235</v>
      </c>
      <c r="F11" s="337">
        <f>E11</f>
        <v>2796889.9660177235</v>
      </c>
      <c r="G11" s="337">
        <f>F11</f>
        <v>2796889.9660177235</v>
      </c>
      <c r="H11" s="337">
        <f t="shared" ref="H11:Y11" si="30">G11</f>
        <v>2796889.9660177235</v>
      </c>
      <c r="I11" s="337">
        <f t="shared" si="30"/>
        <v>2796889.9660177235</v>
      </c>
      <c r="J11" s="337">
        <f t="shared" si="30"/>
        <v>2796889.9660177235</v>
      </c>
      <c r="K11" s="337">
        <f t="shared" si="30"/>
        <v>2796889.9660177235</v>
      </c>
      <c r="L11" s="337">
        <f t="shared" si="30"/>
        <v>2796889.9660177235</v>
      </c>
      <c r="M11" s="337">
        <f t="shared" si="30"/>
        <v>2796889.9660177235</v>
      </c>
      <c r="N11" s="337">
        <f>M11</f>
        <v>2796889.9660177235</v>
      </c>
      <c r="O11" s="337">
        <f t="shared" si="30"/>
        <v>2796889.9660177235</v>
      </c>
      <c r="P11" s="337">
        <f t="shared" si="30"/>
        <v>2796889.9660177235</v>
      </c>
      <c r="Q11" s="337">
        <f t="shared" si="30"/>
        <v>2796889.9660177235</v>
      </c>
      <c r="R11" s="337">
        <f t="shared" si="30"/>
        <v>2796889.9660177235</v>
      </c>
      <c r="S11" s="337">
        <f>R11</f>
        <v>2796889.9660177235</v>
      </c>
      <c r="T11" s="337">
        <f t="shared" si="30"/>
        <v>2796889.9660177235</v>
      </c>
      <c r="U11" s="337">
        <f t="shared" si="30"/>
        <v>2796889.9660177235</v>
      </c>
      <c r="V11" s="337">
        <f>U11</f>
        <v>2796889.9660177235</v>
      </c>
      <c r="W11" s="337">
        <f t="shared" si="30"/>
        <v>2796889.9660177235</v>
      </c>
      <c r="X11" s="337">
        <f t="shared" si="30"/>
        <v>2796889.9660177235</v>
      </c>
      <c r="Y11" s="337">
        <f t="shared" si="30"/>
        <v>2796889.9660177235</v>
      </c>
      <c r="Z11" s="337"/>
      <c r="AA11" s="653"/>
      <c r="AB11" s="337"/>
      <c r="AC11" s="653"/>
      <c r="AD11" s="337"/>
      <c r="AE11" s="653"/>
      <c r="AF11" s="337"/>
      <c r="AG11" s="332"/>
      <c r="AH11" s="332"/>
      <c r="AI11" s="332"/>
      <c r="AJ11" s="332"/>
      <c r="AK11" s="332"/>
      <c r="AL11" s="332"/>
      <c r="AM11" s="332"/>
      <c r="AN11" s="332"/>
      <c r="AO11" s="332"/>
      <c r="AP11" s="332"/>
    </row>
    <row r="12" spans="2:42" s="330" customFormat="1" outlineLevel="1" x14ac:dyDescent="0.2">
      <c r="B12" s="340" t="s">
        <v>502</v>
      </c>
      <c r="C12" s="324">
        <v>0</v>
      </c>
      <c r="D12" s="324">
        <f>IF(D7&lt;=IN!$C$47,SUM(C12:C13),0)</f>
        <v>-226349.43896740716</v>
      </c>
      <c r="E12" s="324">
        <f>IF(E7&lt;=IN!$C$47,SUM(D12:D13),0)</f>
        <v>-107819.98433910384</v>
      </c>
      <c r="F12" s="324">
        <f>IF(F7&lt;=IN!$C$47,SUM(E12:E13),0)</f>
        <v>13311.976280241171</v>
      </c>
      <c r="G12" s="324">
        <f>IF(G7&lt;=IN!$C$47,SUM(F12:F13),0)</f>
        <v>137104.76849241881</v>
      </c>
      <c r="H12" s="324">
        <f>IF(H7&lt;=IN!$C$47,SUM(G12:G13),0)</f>
        <v>263618.20140065171</v>
      </c>
      <c r="I12" s="324">
        <f>IF(I7&lt;=IN!$C$47,SUM(H12:H13),0)</f>
        <v>392913.60754266207</v>
      </c>
      <c r="J12" s="324">
        <f>IF(J7&lt;=IN!$C$47,SUM(I12:I13),0)</f>
        <v>525053.88392292848</v>
      </c>
      <c r="K12" s="324">
        <f>IF(K7&lt;=IN!$C$47,SUM(J12:J13),0)</f>
        <v>638563.53417464579</v>
      </c>
      <c r="L12" s="324">
        <f>IF(L7&lt;=IN!$C$47,SUM(K12:K13),0)</f>
        <v>776588.71188274352</v>
      </c>
      <c r="M12" s="324">
        <f>IF(M7&lt;=IN!$C$47,SUM(L12:L13),0)</f>
        <v>917657.26510020054</v>
      </c>
      <c r="N12" s="324">
        <f>IF(N7&lt;=IN!$C$47,SUM(M12:M13),0)</f>
        <v>1061838.7820907831</v>
      </c>
      <c r="O12" s="324">
        <f>IF(O7&lt;=IN!$C$47,SUM(N12:N13),0)</f>
        <v>1209204.6383322624</v>
      </c>
      <c r="P12" s="324">
        <f>IF(P7&lt;=IN!$C$47,SUM(O12:O13),0)</f>
        <v>1359828.0448151107</v>
      </c>
      <c r="Q12" s="324">
        <f>IF(Q7&lt;=IN!$C$47,SUM(P12:P13),0)</f>
        <v>1492244.0976726543</v>
      </c>
      <c r="R12" s="324">
        <f>IF(R7&lt;=IN!$C$47,SUM(Q12:Q13),0)</f>
        <v>1649609.8291796606</v>
      </c>
      <c r="S12" s="324">
        <f>IF(S7&lt;=IN!$C$47,SUM(R12:R13),0)</f>
        <v>1810464.2601573679</v>
      </c>
      <c r="T12" s="324">
        <f>IF(T7&lt;=IN!$C$47,SUM(S12:S13),0)</f>
        <v>1974888.4538240237</v>
      </c>
      <c r="U12" s="324">
        <f>IF(U7&lt;=IN!$C$47,SUM(T12:T13),0)</f>
        <v>2142965.5711310869</v>
      </c>
      <c r="V12" s="324">
        <f>IF(V7&lt;=IN!$C$47,SUM(U12:U13),0)</f>
        <v>2314780.9276263663</v>
      </c>
      <c r="W12" s="324">
        <f>IF(W7&lt;=IN!$C$47,SUM(V12:V13),0)</f>
        <v>2490422.0518865185</v>
      </c>
      <c r="X12" s="324">
        <f>IF(X7&lt;=IN!$C$47,SUM(W12:W13),0)</f>
        <v>2670292.2215085481</v>
      </c>
      <c r="Y12" s="324">
        <f>IF(Y7&lt;=IN!$C$47,SUM(X12:X13),0)</f>
        <v>2854187.4683431936</v>
      </c>
      <c r="Z12" s="324">
        <f>IF(Z7&lt;=IN!$C$47,SUM(Y12:Y13),0)</f>
        <v>0</v>
      </c>
      <c r="AA12" s="324">
        <f>IF(AA7&lt;=IN!$C$47,SUM(Z12:Z13),0)</f>
        <v>0</v>
      </c>
      <c r="AB12" s="324">
        <f>IF(AB7&lt;=IN!$C$47,SUM(AA12:AA13),0)</f>
        <v>0</v>
      </c>
      <c r="AC12" s="324">
        <f>IF(AC7&lt;=IN!$C$47,SUM(AB12:AB13),0)</f>
        <v>0</v>
      </c>
      <c r="AD12" s="324">
        <f>IF(AD7&lt;=IN!$C$47,SUM(AC12:AC13),0)</f>
        <v>0</v>
      </c>
      <c r="AE12" s="324">
        <f>IF(AE7&lt;=IN!$C$47,SUM(AD12:AD13),0)</f>
        <v>0</v>
      </c>
      <c r="AF12" s="324">
        <f>IF(AF7&lt;=IN!$C$47,SUM(AE12:AE13),0)</f>
        <v>0</v>
      </c>
      <c r="AG12" s="331"/>
      <c r="AH12" s="331"/>
      <c r="AI12" s="331"/>
      <c r="AJ12" s="331"/>
      <c r="AK12" s="331"/>
      <c r="AL12" s="331"/>
      <c r="AM12" s="331"/>
      <c r="AN12" s="331"/>
      <c r="AO12" s="331"/>
      <c r="AP12" s="331"/>
    </row>
    <row r="13" spans="2:42" s="330" customFormat="1" outlineLevel="1" x14ac:dyDescent="0.2">
      <c r="B13" s="340" t="s">
        <v>283</v>
      </c>
      <c r="C13" s="324">
        <f>IF(C7&lt;=IN!$C$47,'CE CC opz1'!C47,0)</f>
        <v>-226349.43896740716</v>
      </c>
      <c r="D13" s="324">
        <f>IF(D7&lt;=IN!$C$47,'CE CC opz1'!D47,0)</f>
        <v>118529.45462830331</v>
      </c>
      <c r="E13" s="324">
        <f>IF(E7&lt;=IN!$C$47,'CE CC opz1'!E47,0)</f>
        <v>121131.96061934502</v>
      </c>
      <c r="F13" s="324">
        <f>IF(F7&lt;=IN!$C$47,'CE CC opz1'!F47,0)</f>
        <v>123792.79221217764</v>
      </c>
      <c r="G13" s="324">
        <f>IF(G7&lt;=IN!$C$47,'CE CC opz1'!G47,0)</f>
        <v>126513.43290823291</v>
      </c>
      <c r="H13" s="324">
        <f>IF(H7&lt;=IN!$C$47,'CE CC opz1'!H47,0)</f>
        <v>129295.40614201038</v>
      </c>
      <c r="I13" s="324">
        <f>IF(I7&lt;=IN!$C$47,'CE CC opz1'!I47,0)</f>
        <v>132140.27638026641</v>
      </c>
      <c r="J13" s="324">
        <f>IF(J7&lt;=IN!$C$47,'CE CC opz1'!J47,0)</f>
        <v>113509.65025171735</v>
      </c>
      <c r="K13" s="324">
        <f>IF(K7&lt;=IN!$C$47,'CE CC opz1'!K47,0)</f>
        <v>138025.1777080977</v>
      </c>
      <c r="L13" s="324">
        <f>IF(L7&lt;=IN!$C$47,'CE CC opz1'!L47,0)</f>
        <v>141068.55321745703</v>
      </c>
      <c r="M13" s="324">
        <f>IF(M7&lt;=IN!$C$47,'CE CC opz1'!M47,0)</f>
        <v>144181.51699058263</v>
      </c>
      <c r="N13" s="324">
        <f>IF(N7&lt;=IN!$C$47,'CE CC opz1'!N47,0)</f>
        <v>147365.85624147925</v>
      </c>
      <c r="O13" s="324">
        <f>IF(O7&lt;=IN!$C$47,'CE CC opz1'!O47,0)</f>
        <v>150623.40648284828</v>
      </c>
      <c r="P13" s="324">
        <f>IF(P7&lt;=IN!$C$47,'CE CC opz1'!P47,0)</f>
        <v>132416.05285754369</v>
      </c>
      <c r="Q13" s="324">
        <f>IF(Q7&lt;=IN!$C$47,'CE CC opz1'!Q47,0)</f>
        <v>157365.73150700642</v>
      </c>
      <c r="R13" s="324">
        <f>IF(R7&lt;=IN!$C$47,'CE CC opz1'!R47,0)</f>
        <v>160854.43097770735</v>
      </c>
      <c r="S13" s="324">
        <f>IF(S7&lt;=IN!$C$47,'CE CC opz1'!S47,0)</f>
        <v>164424.19366665586</v>
      </c>
      <c r="T13" s="324">
        <f>IF(T7&lt;=IN!$C$47,'CE CC opz1'!T47,0)</f>
        <v>168077.11730706331</v>
      </c>
      <c r="U13" s="324">
        <f>IF(U7&lt;=IN!$C$47,'CE CC opz1'!U47,0)</f>
        <v>171815.35649527944</v>
      </c>
      <c r="V13" s="324">
        <f>IF(V7&lt;=IN!$C$47,'CE CC opz1'!V47,0)</f>
        <v>175641.12426015202</v>
      </c>
      <c r="W13" s="324">
        <f>IF(W7&lt;=IN!$C$47,'CE CC opz1'!W47,0)</f>
        <v>179870.16962202953</v>
      </c>
      <c r="X13" s="324">
        <f>IF(X7&lt;=IN!$C$47,'CE CC opz1'!X47,0)</f>
        <v>183895.24683464551</v>
      </c>
      <c r="Y13" s="324">
        <f>IF(Y7&lt;=IN!$C$47,'CE CC opz1'!Y47,0)</f>
        <v>188015.03237410577</v>
      </c>
      <c r="Z13" s="324">
        <f>IF(Z7&lt;=IN!$C$47,'CE CC opz1'!Z47,0)</f>
        <v>0</v>
      </c>
      <c r="AA13" s="324">
        <f>IF(AA7&lt;=IN!$C$47,'CE CC opz1'!AA47,0)</f>
        <v>0</v>
      </c>
      <c r="AB13" s="324">
        <f>IF(AB7&lt;=IN!$C$47,'CE CC opz1'!AB47,0)</f>
        <v>0</v>
      </c>
      <c r="AC13" s="324">
        <f>IF(AC7&lt;=IN!$C$47,'CE CC opz1'!AC47,0)</f>
        <v>0</v>
      </c>
      <c r="AD13" s="324">
        <f>IF(AD7&lt;=IN!$C$47,'CE CC opz1'!AD47,0)</f>
        <v>0</v>
      </c>
      <c r="AE13" s="324">
        <f>IF(AE7&lt;=IN!$C$47,'CE CC opz1'!AE47,0)</f>
        <v>0</v>
      </c>
      <c r="AF13" s="324">
        <f>IF(AF7&lt;=IN!$C$47,'CE CC opz1'!AF47,0)</f>
        <v>0</v>
      </c>
      <c r="AG13" s="331"/>
      <c r="AH13" s="331"/>
      <c r="AI13" s="331"/>
      <c r="AJ13" s="331"/>
      <c r="AK13" s="331"/>
      <c r="AL13" s="331"/>
      <c r="AM13" s="331"/>
      <c r="AN13" s="331"/>
      <c r="AO13" s="331"/>
      <c r="AP13" s="331"/>
    </row>
    <row r="14" spans="2:42" s="330" customFormat="1" hidden="1" outlineLevel="2" x14ac:dyDescent="0.2">
      <c r="B14" s="391" t="s">
        <v>284</v>
      </c>
      <c r="C14" s="326" cm="1">
        <f t="array" ref="C14:AF14">TRANSPOSE(IN!R57:R86)</f>
        <v>2528376.1939868489</v>
      </c>
      <c r="D14" s="326">
        <v>2443587.7437580661</v>
      </c>
      <c r="E14" s="326">
        <v>2356433.6957679</v>
      </c>
      <c r="F14" s="326">
        <v>2266848.0498388084</v>
      </c>
      <c r="G14" s="326">
        <v>2174762.9643882951</v>
      </c>
      <c r="H14" s="326">
        <v>2080108.7050537125</v>
      </c>
      <c r="I14" s="326">
        <v>1982813.591883695</v>
      </c>
      <c r="J14" s="326">
        <v>1882803.945056234</v>
      </c>
      <c r="K14" s="326">
        <v>1780004.0290822869</v>
      </c>
      <c r="L14" s="326">
        <v>1674335.9954526667</v>
      </c>
      <c r="M14" s="326">
        <v>1565719.8236847799</v>
      </c>
      <c r="N14" s="326">
        <v>1454073.2607245692</v>
      </c>
      <c r="O14" s="326">
        <v>1339311.7586577686</v>
      </c>
      <c r="P14" s="326">
        <v>1221348.4106833043</v>
      </c>
      <c r="Q14" s="326">
        <v>1100093.8853003525</v>
      </c>
      <c r="R14" s="326">
        <v>975456.3586592162</v>
      </c>
      <c r="S14" s="326">
        <v>847341.44502479222</v>
      </c>
      <c r="T14" s="326">
        <v>715652.12529996783</v>
      </c>
      <c r="U14" s="326">
        <v>580288.67355482082</v>
      </c>
      <c r="V14" s="326">
        <v>441148.58150598418</v>
      </c>
      <c r="W14" s="326">
        <v>298126.48088898498</v>
      </c>
      <c r="X14" s="326">
        <v>151114.06366477153</v>
      </c>
      <c r="Y14" s="326">
        <v>2.5320332497358322E-9</v>
      </c>
      <c r="Z14" s="326">
        <v>0</v>
      </c>
      <c r="AA14" s="326">
        <v>0</v>
      </c>
      <c r="AB14" s="326">
        <v>0</v>
      </c>
      <c r="AC14" s="326">
        <v>0</v>
      </c>
      <c r="AD14" s="326">
        <v>0</v>
      </c>
      <c r="AE14" s="326">
        <v>0</v>
      </c>
      <c r="AF14" s="326">
        <v>0</v>
      </c>
      <c r="AG14" s="331"/>
      <c r="AH14" s="331"/>
      <c r="AI14" s="331"/>
      <c r="AJ14" s="331"/>
      <c r="AK14" s="331"/>
      <c r="AL14" s="331"/>
      <c r="AM14" s="331"/>
      <c r="AN14" s="331"/>
      <c r="AO14" s="331"/>
      <c r="AP14" s="331"/>
    </row>
    <row r="15" spans="2:42" s="330" customFormat="1" hidden="1" outlineLevel="2" x14ac:dyDescent="0.2">
      <c r="B15" s="391" t="s">
        <v>285</v>
      </c>
      <c r="C15" s="326">
        <f>IF(C7&lt;=IN!$C$47,-'RF VAL_INV opz1'!C30,0)-C11</f>
        <v>0</v>
      </c>
      <c r="D15" s="326">
        <f>IF(D7&lt;=IN!$C$47,-'RF VAL_INV opz1'!C30-'RF VAL_INV opz1'!D30,0)-D11</f>
        <v>-99507.965509647038</v>
      </c>
      <c r="E15" s="326">
        <f>IF(E7&lt;=IN!$C$47,D15-'RF VAL_INV opz1'!E30,0)</f>
        <v>-368376.81611508573</v>
      </c>
      <c r="F15" s="326">
        <f>IF(F7&lt;=IN!$C$47,E15-'RF VAL_INV opz1'!F30,0)</f>
        <v>-637472.57947702368</v>
      </c>
      <c r="G15" s="326">
        <f>IF(G7&lt;=IN!$C$47,F15-'RF VAL_INV opz1'!G30,0)</f>
        <v>-906787.19924272411</v>
      </c>
      <c r="H15" s="326">
        <f>IF(H7&lt;=IN!$C$47,G15-'RF VAL_INV opz1'!H30,0)</f>
        <v>-1176312.2494617738</v>
      </c>
      <c r="I15" s="326">
        <f>IF(I7&lt;=IN!$C$47,H15-'RF VAL_INV opz1'!I30,0)</f>
        <v>-1446038.9228069875</v>
      </c>
      <c r="J15" s="326">
        <f>IF(J7&lt;=IN!$C$47,I15-'RF VAL_INV opz1'!J30,0)</f>
        <v>-1700434.4568077878</v>
      </c>
      <c r="K15" s="326">
        <f>IF(K7&lt;=IN!$C$47,J15-'RF VAL_INV opz1'!K30,0)</f>
        <v>-1964519.9295931582</v>
      </c>
      <c r="L15" s="326">
        <f>IF(L7&lt;=IN!$C$47,K15-'RF VAL_INV opz1'!L30,0)</f>
        <v>-2234794.6306136036</v>
      </c>
      <c r="M15" s="326">
        <f>IF(M7&lt;=IN!$C$47,L15-'RF VAL_INV opz1'!M30,0)</f>
        <v>-2505231.6638660626</v>
      </c>
      <c r="N15" s="326">
        <f>IF(N7&lt;=IN!$C$47,M15-'RF VAL_INV opz1'!N30,0)</f>
        <v>-2775820.1260769307</v>
      </c>
      <c r="O15" s="326">
        <f>IF(O7&lt;=IN!$C$47,N15-'RF VAL_INV opz1'!O30,0)</f>
        <v>-3046548.6543528573</v>
      </c>
      <c r="P15" s="326">
        <f>IF(P7&lt;=IN!$C$47,O15-'RF VAL_INV opz1'!P30,0)</f>
        <v>-3301881.8501374363</v>
      </c>
      <c r="Q15" s="326">
        <f>IF(Q7&lt;=IN!$C$47,P15-'RF VAL_INV opz1'!Q30,0)</f>
        <v>-3566838.0726129636</v>
      </c>
      <c r="R15" s="326">
        <f>IF(R7&lt;=IN!$C$47,Q15-'RF VAL_INV opz1'!R30,0)</f>
        <v>-3837913.8070148882</v>
      </c>
      <c r="S15" s="326">
        <f>IF(S7&lt;=IN!$C$47,R15-'RF VAL_INV opz1'!S30,0)</f>
        <v>-4109079.2653810335</v>
      </c>
      <c r="T15" s="326">
        <f>IF(T7&lt;=IN!$C$47,S15-'RF VAL_INV opz1'!T30,0)</f>
        <v>-4380320.5621888442</v>
      </c>
      <c r="U15" s="326">
        <f>IF(U7&lt;=IN!$C$47,T15-'RF VAL_INV opz1'!U30,0)</f>
        <v>-4651623.2593883434</v>
      </c>
      <c r="V15" s="326">
        <f>IF(V7&lt;=IN!$C$47,U15-'RF VAL_INV opz1'!V30,0)</f>
        <v>-4922972.3493107446</v>
      </c>
      <c r="W15" s="326">
        <f>IF(W7&lt;=IN!$C$47,V15-'RF VAL_INV opz1'!W30,0)</f>
        <v>-5194665.7130289944</v>
      </c>
      <c r="X15" s="326">
        <f>IF(X7&lt;=IN!$C$47,W15-'RF VAL_INV opz1'!X30,0)</f>
        <v>-5466391.0457943557</v>
      </c>
      <c r="Y15" s="326">
        <f>IF(Y7&lt;=IN!$C$47,X15-'RF VAL_INV opz1'!Y30,0)</f>
        <v>-5738131.6972356942</v>
      </c>
      <c r="Z15" s="326">
        <f>IF(Z7&lt;=IN!$C$47,Y15-'RF VAL_INV opz1'!Z30,0)</f>
        <v>0</v>
      </c>
      <c r="AA15" s="326">
        <f>IF(AA7&lt;=IN!$C$47,Z15-'RF VAL_INV opz1'!AA30,0)</f>
        <v>0</v>
      </c>
      <c r="AB15" s="326">
        <f>IF(AB7&lt;=IN!$C$47,AA15-'RF VAL_INV opz1'!AB30,0)</f>
        <v>0</v>
      </c>
      <c r="AC15" s="326">
        <f>IF(AC7&lt;=IN!$C$47,AB15-'RF VAL_INV opz1'!AC30,0)</f>
        <v>0</v>
      </c>
      <c r="AD15" s="326">
        <f>IF(AD7&lt;=IN!$C$47,AC15-'RF VAL_INV opz1'!AD30,0)</f>
        <v>0</v>
      </c>
      <c r="AE15" s="326">
        <f>IF(AE7&lt;=IN!$C$47,AD15-'RF VAL_INV opz1'!AE30,0)</f>
        <v>0</v>
      </c>
      <c r="AF15" s="326">
        <f>IF(AF7&lt;=IN!$C$47,AE15-'RF VAL_INV opz1'!AF30,0)</f>
        <v>0</v>
      </c>
      <c r="AG15" s="331"/>
      <c r="AH15" s="331"/>
      <c r="AI15" s="331"/>
      <c r="AJ15" s="331"/>
      <c r="AK15" s="331"/>
      <c r="AL15" s="331"/>
      <c r="AM15" s="331"/>
      <c r="AN15" s="331"/>
      <c r="AO15" s="331"/>
      <c r="AP15" s="331"/>
    </row>
    <row r="16" spans="2:42" s="330" customFormat="1" outlineLevel="1" collapsed="1" x14ac:dyDescent="0.2">
      <c r="B16" s="340" t="s">
        <v>286</v>
      </c>
      <c r="C16" s="324">
        <f>SUM(C14:C15)</f>
        <v>2528376.1939868489</v>
      </c>
      <c r="D16" s="324">
        <f>SUM(D14:D15)</f>
        <v>2344079.7782484191</v>
      </c>
      <c r="E16" s="324">
        <f t="shared" ref="E16:AF16" si="31">SUM(E14:E15)</f>
        <v>1988056.8796528142</v>
      </c>
      <c r="F16" s="324">
        <f t="shared" si="31"/>
        <v>1629375.4703617846</v>
      </c>
      <c r="G16" s="324">
        <f t="shared" si="31"/>
        <v>1267975.765145571</v>
      </c>
      <c r="H16" s="324">
        <f t="shared" si="31"/>
        <v>903796.45559193869</v>
      </c>
      <c r="I16" s="324">
        <f t="shared" si="31"/>
        <v>536774.66907670745</v>
      </c>
      <c r="J16" s="324">
        <f t="shared" si="31"/>
        <v>182369.48824844626</v>
      </c>
      <c r="K16" s="324">
        <f t="shared" si="31"/>
        <v>-184515.90051087132</v>
      </c>
      <c r="L16" s="324">
        <f t="shared" si="31"/>
        <v>-560458.63516093697</v>
      </c>
      <c r="M16" s="324">
        <f t="shared" si="31"/>
        <v>-939511.84018128272</v>
      </c>
      <c r="N16" s="324">
        <f t="shared" si="31"/>
        <v>-1321746.8653523615</v>
      </c>
      <c r="O16" s="324">
        <f t="shared" si="31"/>
        <v>-1707236.8956950887</v>
      </c>
      <c r="P16" s="324">
        <f t="shared" si="31"/>
        <v>-2080533.439454132</v>
      </c>
      <c r="Q16" s="324">
        <f t="shared" si="31"/>
        <v>-2466744.1873126114</v>
      </c>
      <c r="R16" s="324">
        <f t="shared" si="31"/>
        <v>-2862457.4483556719</v>
      </c>
      <c r="S16" s="324">
        <f t="shared" si="31"/>
        <v>-3261737.8203562414</v>
      </c>
      <c r="T16" s="324">
        <f t="shared" si="31"/>
        <v>-3664668.4368888764</v>
      </c>
      <c r="U16" s="324">
        <f t="shared" si="31"/>
        <v>-4071334.5858335225</v>
      </c>
      <c r="V16" s="324">
        <f t="shared" si="31"/>
        <v>-4481823.7678047605</v>
      </c>
      <c r="W16" s="324">
        <f t="shared" si="31"/>
        <v>-4896539.2321400093</v>
      </c>
      <c r="X16" s="324">
        <f t="shared" si="31"/>
        <v>-5315276.9821295841</v>
      </c>
      <c r="Y16" s="324">
        <f t="shared" si="31"/>
        <v>-5738131.6972356914</v>
      </c>
      <c r="Z16" s="324">
        <f t="shared" si="31"/>
        <v>0</v>
      </c>
      <c r="AA16" s="324">
        <f t="shared" si="31"/>
        <v>0</v>
      </c>
      <c r="AB16" s="324">
        <f t="shared" si="31"/>
        <v>0</v>
      </c>
      <c r="AC16" s="324">
        <f t="shared" si="31"/>
        <v>0</v>
      </c>
      <c r="AD16" s="324">
        <f t="shared" si="31"/>
        <v>0</v>
      </c>
      <c r="AE16" s="324">
        <f t="shared" si="31"/>
        <v>0</v>
      </c>
      <c r="AF16" s="324">
        <f t="shared" si="31"/>
        <v>0</v>
      </c>
      <c r="AG16" s="329"/>
      <c r="AH16" s="329"/>
      <c r="AI16" s="329"/>
      <c r="AJ16" s="329"/>
      <c r="AK16" s="329"/>
      <c r="AL16" s="329"/>
      <c r="AM16" s="329"/>
      <c r="AN16" s="329"/>
      <c r="AO16" s="329"/>
      <c r="AP16" s="329"/>
    </row>
    <row r="17" spans="2:42" s="330" customFormat="1" outlineLevel="1" x14ac:dyDescent="0.2">
      <c r="B17" s="342" t="s">
        <v>287</v>
      </c>
      <c r="C17" s="339">
        <f>SUM(C11:C13,C16)</f>
        <v>4090527.8626710568</v>
      </c>
      <c r="D17" s="339">
        <f>SUM(D11:D13,D16)</f>
        <v>5033149.7599270381</v>
      </c>
      <c r="E17" s="339">
        <f>SUM(E11:E13,E16)</f>
        <v>4798258.8219507784</v>
      </c>
      <c r="F17" s="339">
        <f>SUM(F11:F13,F16)</f>
        <v>4563370.2048719265</v>
      </c>
      <c r="G17" s="339">
        <f t="shared" ref="G17:Y17" si="32">SUM(G11:G13,G16)</f>
        <v>4328483.9325639457</v>
      </c>
      <c r="H17" s="339">
        <f t="shared" si="32"/>
        <v>4093600.0291523244</v>
      </c>
      <c r="I17" s="339">
        <f t="shared" si="32"/>
        <v>3858718.5190173592</v>
      </c>
      <c r="J17" s="339">
        <f t="shared" si="32"/>
        <v>3617822.9884408154</v>
      </c>
      <c r="K17" s="339">
        <f t="shared" si="32"/>
        <v>3388962.7773895958</v>
      </c>
      <c r="L17" s="339">
        <f t="shared" si="32"/>
        <v>3154088.5959569872</v>
      </c>
      <c r="M17" s="339">
        <f t="shared" si="32"/>
        <v>2919216.9079272239</v>
      </c>
      <c r="N17" s="339">
        <f t="shared" si="32"/>
        <v>2684347.7389976243</v>
      </c>
      <c r="O17" s="339">
        <f t="shared" si="32"/>
        <v>2449481.1151377456</v>
      </c>
      <c r="P17" s="339">
        <f t="shared" si="32"/>
        <v>2208600.6242362456</v>
      </c>
      <c r="Q17" s="339">
        <f t="shared" si="32"/>
        <v>1979755.6078847721</v>
      </c>
      <c r="R17" s="339">
        <f t="shared" si="32"/>
        <v>1744896.7778194202</v>
      </c>
      <c r="S17" s="339">
        <f t="shared" si="32"/>
        <v>1510040.5994855054</v>
      </c>
      <c r="T17" s="339">
        <f t="shared" si="32"/>
        <v>1275187.1002599346</v>
      </c>
      <c r="U17" s="339">
        <f t="shared" si="32"/>
        <v>1040336.3078105683</v>
      </c>
      <c r="V17" s="339">
        <f t="shared" si="32"/>
        <v>805488.25009948108</v>
      </c>
      <c r="W17" s="339">
        <f t="shared" si="32"/>
        <v>570642.95538626239</v>
      </c>
      <c r="X17" s="339">
        <f t="shared" si="32"/>
        <v>335800.45223133359</v>
      </c>
      <c r="Y17" s="339">
        <f t="shared" si="32"/>
        <v>100960.76949933171</v>
      </c>
      <c r="Z17" s="339">
        <f t="shared" ref="Z17:AF17" si="33">SUM(Z12:Z13,Z16)</f>
        <v>0</v>
      </c>
      <c r="AA17" s="339">
        <f t="shared" si="33"/>
        <v>0</v>
      </c>
      <c r="AB17" s="339">
        <f t="shared" si="33"/>
        <v>0</v>
      </c>
      <c r="AC17" s="339">
        <f t="shared" si="33"/>
        <v>0</v>
      </c>
      <c r="AD17" s="339">
        <f t="shared" si="33"/>
        <v>0</v>
      </c>
      <c r="AE17" s="339">
        <f t="shared" si="33"/>
        <v>0</v>
      </c>
      <c r="AF17" s="339">
        <f t="shared" si="33"/>
        <v>0</v>
      </c>
      <c r="AG17" s="333"/>
      <c r="AH17" s="333"/>
      <c r="AI17" s="333"/>
      <c r="AJ17" s="333"/>
      <c r="AK17" s="333"/>
      <c r="AL17" s="333"/>
      <c r="AM17" s="333"/>
      <c r="AN17" s="333"/>
      <c r="AO17" s="333"/>
      <c r="AP17" s="333"/>
    </row>
    <row r="18" spans="2:42" s="330" customFormat="1" outlineLevel="1" x14ac:dyDescent="0.2">
      <c r="B18" s="650"/>
      <c r="C18" s="651"/>
      <c r="D18" s="651"/>
      <c r="E18" s="651"/>
      <c r="F18" s="651"/>
      <c r="G18" s="651"/>
      <c r="H18" s="651"/>
      <c r="I18" s="651"/>
      <c r="J18" s="651"/>
      <c r="K18" s="651"/>
      <c r="L18" s="651"/>
      <c r="M18" s="651"/>
      <c r="N18" s="651"/>
      <c r="O18" s="651"/>
      <c r="P18" s="651"/>
      <c r="Q18" s="651"/>
      <c r="R18" s="651"/>
      <c r="S18" s="651"/>
      <c r="T18" s="651"/>
      <c r="U18" s="651"/>
      <c r="V18" s="651"/>
      <c r="W18" s="651"/>
      <c r="X18" s="651"/>
      <c r="Y18" s="651"/>
      <c r="Z18" s="651"/>
      <c r="AA18" s="651"/>
      <c r="AB18" s="651"/>
      <c r="AC18" s="651"/>
      <c r="AD18" s="651"/>
      <c r="AE18" s="651"/>
      <c r="AF18" s="651"/>
      <c r="AG18" s="333"/>
      <c r="AH18" s="333"/>
      <c r="AI18" s="333"/>
      <c r="AJ18" s="333"/>
      <c r="AK18" s="333"/>
      <c r="AL18" s="333"/>
      <c r="AM18" s="333"/>
      <c r="AN18" s="333"/>
      <c r="AO18" s="333"/>
      <c r="AP18" s="333"/>
    </row>
    <row r="19" spans="2:42" s="330" customFormat="1" outlineLevel="1" x14ac:dyDescent="0.2">
      <c r="B19" s="650"/>
      <c r="C19" s="651"/>
      <c r="D19" s="651"/>
      <c r="E19" s="651"/>
      <c r="F19" s="651"/>
      <c r="G19" s="651"/>
      <c r="H19" s="651"/>
      <c r="I19" s="651"/>
      <c r="J19" s="651"/>
      <c r="K19" s="651"/>
      <c r="L19" s="651"/>
      <c r="M19" s="651"/>
      <c r="N19" s="651"/>
      <c r="O19" s="651"/>
      <c r="P19" s="651"/>
      <c r="Q19" s="651"/>
      <c r="R19" s="651"/>
      <c r="S19" s="651"/>
      <c r="T19" s="651"/>
      <c r="U19" s="651"/>
      <c r="V19" s="651"/>
      <c r="W19" s="651"/>
      <c r="X19" s="651"/>
      <c r="Y19" s="651"/>
      <c r="Z19" s="651"/>
      <c r="AA19" s="651"/>
      <c r="AB19" s="651"/>
      <c r="AC19" s="651"/>
      <c r="AD19" s="651"/>
      <c r="AE19" s="651"/>
      <c r="AF19" s="651"/>
      <c r="AG19" s="333"/>
      <c r="AH19" s="333"/>
      <c r="AI19" s="333"/>
      <c r="AJ19" s="333"/>
      <c r="AK19" s="333"/>
      <c r="AL19" s="333"/>
      <c r="AM19" s="333"/>
      <c r="AN19" s="333"/>
      <c r="AO19" s="333"/>
      <c r="AP19" s="333"/>
    </row>
    <row r="20" spans="2:42" s="330" customFormat="1" outlineLevel="1" x14ac:dyDescent="0.2">
      <c r="B20" s="650"/>
      <c r="C20" s="651"/>
      <c r="D20" s="651"/>
      <c r="E20" s="651"/>
      <c r="F20" s="651"/>
      <c r="G20" s="651"/>
      <c r="H20" s="651"/>
      <c r="I20" s="651"/>
      <c r="J20" s="651"/>
      <c r="K20" s="651"/>
      <c r="L20" s="651"/>
      <c r="M20" s="651"/>
      <c r="N20" s="651"/>
      <c r="O20" s="651"/>
      <c r="P20" s="651"/>
      <c r="Q20" s="651"/>
      <c r="R20" s="651"/>
      <c r="S20" s="651"/>
      <c r="T20" s="651"/>
      <c r="U20" s="651"/>
      <c r="V20" s="651"/>
      <c r="W20" s="651"/>
      <c r="X20" s="651"/>
      <c r="Y20" s="651"/>
      <c r="Z20" s="651"/>
      <c r="AA20" s="651"/>
      <c r="AB20" s="651"/>
      <c r="AC20" s="651"/>
      <c r="AD20" s="651"/>
      <c r="AE20" s="651"/>
      <c r="AF20" s="651"/>
      <c r="AG20" s="333"/>
      <c r="AH20" s="333"/>
      <c r="AI20" s="333"/>
      <c r="AJ20" s="333"/>
      <c r="AK20" s="333"/>
      <c r="AL20" s="333"/>
      <c r="AM20" s="333"/>
      <c r="AN20" s="333"/>
      <c r="AO20" s="333"/>
      <c r="AP20" s="333"/>
    </row>
    <row r="21" spans="2:42" x14ac:dyDescent="0.25">
      <c r="B21" s="4"/>
      <c r="C21" s="388"/>
      <c r="D21" s="388"/>
      <c r="E21" s="388"/>
      <c r="F21" s="388"/>
      <c r="G21" s="388"/>
      <c r="H21" s="388"/>
      <c r="I21" s="388"/>
      <c r="J21" s="388"/>
      <c r="K21" s="388"/>
      <c r="L21" s="388"/>
      <c r="M21" s="388"/>
      <c r="N21" s="388"/>
      <c r="O21" s="388"/>
      <c r="P21" s="388"/>
      <c r="Q21" s="388"/>
      <c r="R21" s="388"/>
      <c r="S21" s="388"/>
      <c r="T21" s="388"/>
      <c r="U21" s="388"/>
      <c r="V21" s="388"/>
      <c r="W21" s="388"/>
      <c r="X21" s="388"/>
      <c r="Y21" s="388"/>
      <c r="Z21" s="388"/>
      <c r="AA21" s="388"/>
      <c r="AB21" s="388"/>
      <c r="AC21" s="388"/>
      <c r="AD21" s="388"/>
      <c r="AE21" s="388"/>
      <c r="AF21" s="388"/>
    </row>
    <row r="22" spans="2:42" x14ac:dyDescent="0.25">
      <c r="B22" s="398"/>
      <c r="C22" s="403"/>
      <c r="D22" s="403"/>
      <c r="E22" s="403"/>
      <c r="F22" s="403"/>
      <c r="G22" s="403"/>
      <c r="H22" s="403"/>
      <c r="I22" s="403"/>
      <c r="J22" s="403"/>
      <c r="K22" s="403"/>
      <c r="L22" s="403"/>
      <c r="M22" s="403"/>
      <c r="N22" s="403"/>
      <c r="O22" s="403"/>
      <c r="P22" s="403"/>
      <c r="Q22" s="403"/>
      <c r="R22" s="403"/>
      <c r="S22" s="403"/>
      <c r="T22" s="403"/>
      <c r="U22" s="403"/>
      <c r="V22" s="403"/>
      <c r="W22" s="403"/>
      <c r="X22" s="403"/>
      <c r="Y22" s="403"/>
      <c r="Z22" s="403"/>
      <c r="AA22" s="403"/>
      <c r="AB22" s="403"/>
      <c r="AC22" s="403"/>
      <c r="AD22" s="403"/>
      <c r="AE22" s="403"/>
      <c r="AF22" s="403"/>
    </row>
    <row r="23" spans="2:42" x14ac:dyDescent="0.25">
      <c r="B23" s="649" t="s">
        <v>500</v>
      </c>
      <c r="C23" s="648">
        <f t="shared" ref="C23:Y23" si="34">C17-C10</f>
        <v>0</v>
      </c>
      <c r="D23" s="648">
        <f t="shared" si="34"/>
        <v>0</v>
      </c>
      <c r="E23" s="648">
        <f t="shared" si="34"/>
        <v>0</v>
      </c>
      <c r="F23" s="648">
        <f t="shared" si="34"/>
        <v>0</v>
      </c>
      <c r="G23" s="648">
        <f t="shared" si="34"/>
        <v>0</v>
      </c>
      <c r="H23" s="648">
        <f t="shared" si="34"/>
        <v>0</v>
      </c>
      <c r="I23" s="648">
        <f t="shared" si="34"/>
        <v>0</v>
      </c>
      <c r="J23" s="648">
        <f t="shared" si="34"/>
        <v>0</v>
      </c>
      <c r="K23" s="648">
        <f t="shared" si="34"/>
        <v>0</v>
      </c>
      <c r="L23" s="648">
        <f t="shared" si="34"/>
        <v>0</v>
      </c>
      <c r="M23" s="648">
        <f t="shared" si="34"/>
        <v>0</v>
      </c>
      <c r="N23" s="648">
        <f t="shared" si="34"/>
        <v>0</v>
      </c>
      <c r="O23" s="648">
        <f t="shared" si="34"/>
        <v>0</v>
      </c>
      <c r="P23" s="648">
        <f t="shared" si="34"/>
        <v>0</v>
      </c>
      <c r="Q23" s="648">
        <f t="shared" si="34"/>
        <v>0</v>
      </c>
      <c r="R23" s="648">
        <f t="shared" si="34"/>
        <v>2.7939677238464355E-9</v>
      </c>
      <c r="S23" s="648">
        <f t="shared" si="34"/>
        <v>1.862645149230957E-9</v>
      </c>
      <c r="T23" s="648">
        <f t="shared" si="34"/>
        <v>2.7939677238464355E-9</v>
      </c>
      <c r="U23" s="648">
        <f t="shared" si="34"/>
        <v>3.2596290111541748E-9</v>
      </c>
      <c r="V23" s="648">
        <f t="shared" si="34"/>
        <v>1.0477378964424133E-9</v>
      </c>
      <c r="W23" s="648">
        <f t="shared" si="34"/>
        <v>1.280568540096283E-9</v>
      </c>
      <c r="X23" s="648">
        <f t="shared" si="34"/>
        <v>1.1641532182693481E-9</v>
      </c>
      <c r="Y23" s="648">
        <f t="shared" si="34"/>
        <v>7.2759576141834259E-10</v>
      </c>
    </row>
    <row r="25" spans="2:42" x14ac:dyDescent="0.25">
      <c r="B25" s="649"/>
      <c r="C25" s="648"/>
    </row>
    <row r="26" spans="2:42" x14ac:dyDescent="0.25">
      <c r="C26" s="648"/>
    </row>
    <row r="27" spans="2:42" x14ac:dyDescent="0.25">
      <c r="C27" s="648"/>
    </row>
  </sheetData>
  <mergeCells count="1">
    <mergeCell ref="B6:B7"/>
  </mergeCells>
  <pageMargins left="7.874015748031496E-2" right="7.874015748031496E-2" top="0.59055118110236227" bottom="0.59055118110236227" header="0" footer="7.874015748031496E-2"/>
  <pageSetup paperSize="9" scale="44" orientation="landscape" r:id="rId1"/>
  <headerFooter scaleWithDoc="0" alignWithMargins="0">
    <oddFooter>&amp;CStato patrimoniale - Ipotesi 1&amp;RPag 6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F12583B1-2022-4C04-929E-F6901F5E61B2}">
            <xm:f>IN!$C$52</xm:f>
            <x14:dxf>
              <font>
                <color rgb="FF353599"/>
              </font>
            </x14:dxf>
          </x14:cfRule>
          <xm:sqref>Z6:AF6</xm:sqref>
        </x14:conditionalFormatting>
        <x14:conditionalFormatting xmlns:xm="http://schemas.microsoft.com/office/excel/2006/main">
          <x14:cfRule type="cellIs" priority="1" operator="greaterThan" id="{C17D8094-8A77-4AB8-B8CF-EA80F7D99C59}">
            <xm:f>IN!$C$47</xm:f>
            <x14:dxf>
              <font>
                <color rgb="FF353599"/>
              </font>
            </x14:dxf>
          </x14:cfRule>
          <xm:sqref>C7:AF7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E1F58-5193-4230-A007-6ACC645A09B1}">
  <sheetPr codeName="Foglio12">
    <tabColor theme="4" tint="0.59999389629810485"/>
    <pageSetUpPr fitToPage="1"/>
  </sheetPr>
  <dimension ref="B1:AG95"/>
  <sheetViews>
    <sheetView topLeftCell="H1" zoomScaleNormal="100" workbookViewId="0">
      <selection activeCell="Y4" sqref="Y4:Z4"/>
    </sheetView>
  </sheetViews>
  <sheetFormatPr defaultRowHeight="15" outlineLevelRow="1" x14ac:dyDescent="0.25"/>
  <cols>
    <col min="1" max="1" width="3.85546875" customWidth="1"/>
    <col min="2" max="2" width="41" customWidth="1"/>
    <col min="3" max="3" width="11" customWidth="1"/>
    <col min="4" max="33" width="9.7109375" customWidth="1"/>
  </cols>
  <sheetData>
    <row r="1" spans="2:33" x14ac:dyDescent="0.25">
      <c r="B1" s="1"/>
      <c r="C1" s="1"/>
      <c r="D1" s="1"/>
      <c r="E1" s="1"/>
      <c r="F1" s="1"/>
      <c r="G1" s="1"/>
      <c r="H1" s="414"/>
      <c r="I1" s="41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2:33" ht="23.25" x14ac:dyDescent="0.35">
      <c r="B2" s="175" t="s">
        <v>205</v>
      </c>
      <c r="C2" s="175"/>
      <c r="D2" s="123"/>
      <c r="E2" s="123"/>
      <c r="F2" s="123"/>
      <c r="G2" s="416"/>
      <c r="H2" s="414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</row>
    <row r="3" spans="2:33" x14ac:dyDescent="0.25">
      <c r="B3" s="334" t="s">
        <v>206</v>
      </c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5"/>
      <c r="AB3" s="415"/>
      <c r="AC3" s="415"/>
      <c r="AD3" s="415"/>
      <c r="AE3" s="415"/>
      <c r="AF3" s="415"/>
      <c r="AG3" s="124"/>
    </row>
    <row r="4" spans="2:33" x14ac:dyDescent="0.25">
      <c r="B4" s="801" t="s">
        <v>143</v>
      </c>
      <c r="C4" s="467" t="s">
        <v>329</v>
      </c>
      <c r="D4" s="467" t="s">
        <v>330</v>
      </c>
      <c r="E4" s="467" t="s">
        <v>331</v>
      </c>
      <c r="F4" s="467" t="s">
        <v>332</v>
      </c>
      <c r="G4" s="467" t="s">
        <v>333</v>
      </c>
      <c r="H4" s="467" t="s">
        <v>334</v>
      </c>
      <c r="I4" s="467" t="s">
        <v>335</v>
      </c>
      <c r="J4" s="467" t="s">
        <v>336</v>
      </c>
      <c r="K4" s="467" t="s">
        <v>337</v>
      </c>
      <c r="L4" s="467" t="s">
        <v>338</v>
      </c>
      <c r="M4" s="467" t="s">
        <v>339</v>
      </c>
      <c r="N4" s="467" t="s">
        <v>340</v>
      </c>
      <c r="O4" s="467" t="s">
        <v>341</v>
      </c>
      <c r="P4" s="467" t="s">
        <v>342</v>
      </c>
      <c r="Q4" s="467" t="s">
        <v>343</v>
      </c>
      <c r="R4" s="467" t="s">
        <v>344</v>
      </c>
      <c r="S4" s="467" t="s">
        <v>345</v>
      </c>
      <c r="T4" s="467" t="s">
        <v>346</v>
      </c>
      <c r="U4" s="467" t="s">
        <v>347</v>
      </c>
      <c r="V4" s="467" t="s">
        <v>348</v>
      </c>
      <c r="W4" s="467" t="s">
        <v>349</v>
      </c>
      <c r="X4" s="467" t="s">
        <v>350</v>
      </c>
      <c r="Y4" s="467" t="s">
        <v>351</v>
      </c>
      <c r="Z4" s="467" t="s">
        <v>564</v>
      </c>
      <c r="AA4" s="178"/>
      <c r="AB4" s="178"/>
      <c r="AC4" s="178"/>
      <c r="AD4" s="178"/>
      <c r="AE4" s="178"/>
      <c r="AF4" s="178"/>
      <c r="AG4" s="178"/>
    </row>
    <row r="5" spans="2:33" x14ac:dyDescent="0.25">
      <c r="B5" s="802"/>
      <c r="C5" s="179">
        <v>1</v>
      </c>
      <c r="D5" s="178">
        <f>C5+1</f>
        <v>2</v>
      </c>
      <c r="E5" s="178">
        <f t="shared" ref="E5:AF5" si="0">D5+1</f>
        <v>3</v>
      </c>
      <c r="F5" s="178">
        <f t="shared" si="0"/>
        <v>4</v>
      </c>
      <c r="G5" s="178">
        <f t="shared" si="0"/>
        <v>5</v>
      </c>
      <c r="H5" s="178">
        <f t="shared" si="0"/>
        <v>6</v>
      </c>
      <c r="I5" s="178">
        <f t="shared" si="0"/>
        <v>7</v>
      </c>
      <c r="J5" s="178">
        <f t="shared" si="0"/>
        <v>8</v>
      </c>
      <c r="K5" s="178">
        <f t="shared" si="0"/>
        <v>9</v>
      </c>
      <c r="L5" s="178">
        <f t="shared" si="0"/>
        <v>10</v>
      </c>
      <c r="M5" s="178">
        <f t="shared" si="0"/>
        <v>11</v>
      </c>
      <c r="N5" s="178">
        <f t="shared" si="0"/>
        <v>12</v>
      </c>
      <c r="O5" s="178">
        <f t="shared" si="0"/>
        <v>13</v>
      </c>
      <c r="P5" s="178">
        <f t="shared" si="0"/>
        <v>14</v>
      </c>
      <c r="Q5" s="178">
        <f t="shared" si="0"/>
        <v>15</v>
      </c>
      <c r="R5" s="178">
        <f t="shared" si="0"/>
        <v>16</v>
      </c>
      <c r="S5" s="178">
        <f t="shared" si="0"/>
        <v>17</v>
      </c>
      <c r="T5" s="178">
        <f t="shared" si="0"/>
        <v>18</v>
      </c>
      <c r="U5" s="178">
        <f t="shared" si="0"/>
        <v>19</v>
      </c>
      <c r="V5" s="178">
        <f t="shared" si="0"/>
        <v>20</v>
      </c>
      <c r="W5" s="178">
        <f t="shared" si="0"/>
        <v>21</v>
      </c>
      <c r="X5" s="178">
        <f t="shared" si="0"/>
        <v>22</v>
      </c>
      <c r="Y5" s="178">
        <f t="shared" si="0"/>
        <v>23</v>
      </c>
      <c r="Z5" s="178">
        <f t="shared" si="0"/>
        <v>24</v>
      </c>
      <c r="AA5" s="178">
        <f t="shared" si="0"/>
        <v>25</v>
      </c>
      <c r="AB5" s="178">
        <f t="shared" si="0"/>
        <v>26</v>
      </c>
      <c r="AC5" s="178">
        <f t="shared" si="0"/>
        <v>27</v>
      </c>
      <c r="AD5" s="178">
        <f t="shared" si="0"/>
        <v>28</v>
      </c>
      <c r="AE5" s="178">
        <f t="shared" si="0"/>
        <v>29</v>
      </c>
      <c r="AF5" s="178">
        <f t="shared" si="0"/>
        <v>30</v>
      </c>
      <c r="AG5" s="178">
        <f>AF5+1</f>
        <v>31</v>
      </c>
    </row>
    <row r="6" spans="2:33" x14ac:dyDescent="0.25">
      <c r="B6" s="180" t="s">
        <v>207</v>
      </c>
      <c r="C6" s="181">
        <f>IF(C5&lt;=IN!$C$47,SUM(C7:C12),0)</f>
        <v>814048.09892331529</v>
      </c>
      <c r="D6" s="181">
        <f>IF(D5&lt;=IN!$C$47,SUM(D7:D12),0)</f>
        <v>820387.62164651533</v>
      </c>
      <c r="E6" s="181">
        <f>IF(E5&lt;=IN!$C$47,SUM(E7:E12),0)</f>
        <v>826827.24652417935</v>
      </c>
      <c r="F6" s="181">
        <f>IF(F5&lt;=IN!$C$47,SUM(F7:F12),0)</f>
        <v>833368.70871639671</v>
      </c>
      <c r="G6" s="181">
        <f>IF(G5&lt;=IN!$C$47,SUM(G7:G12),0)</f>
        <v>840013.77541762823</v>
      </c>
      <c r="H6" s="181">
        <f>IF(H5&lt;=IN!$C$47,SUM(H7:H12),0)</f>
        <v>846764.24647070619</v>
      </c>
      <c r="I6" s="181">
        <f>IF(I5&lt;=IN!$C$47,SUM(I7:I12),0)</f>
        <v>853621.95499284565</v>
      </c>
      <c r="J6" s="181">
        <f>IF(J5&lt;=IN!$C$47,SUM(J7:J12),0)</f>
        <v>860588.76801390783</v>
      </c>
      <c r="K6" s="181">
        <f>IF(K5&lt;=IN!$C$47,SUM(K7:K12),0)</f>
        <v>867666.58712715586</v>
      </c>
      <c r="L6" s="181">
        <f>IF(L5&lt;=IN!$C$47,SUM(L7:L12),0)</f>
        <v>874857.34915275127</v>
      </c>
      <c r="M6" s="181">
        <f>IF(M5&lt;=IN!$C$47,SUM(M7:M12),0)</f>
        <v>882163.02681424178</v>
      </c>
      <c r="N6" s="181">
        <f>IF(N5&lt;=IN!$C$47,SUM(N7:N12),0)</f>
        <v>889585.62942829914</v>
      </c>
      <c r="O6" s="181">
        <f>IF(O5&lt;=IN!$C$47,SUM(O7:O12),0)</f>
        <v>897127.20360796805</v>
      </c>
      <c r="P6" s="181">
        <f>IF(P5&lt;=IN!$C$47,SUM(P7:P12),0)</f>
        <v>904789.83397969394</v>
      </c>
      <c r="Q6" s="181">
        <f>IF(Q5&lt;=IN!$C$47,SUM(Q7:Q12),0)</f>
        <v>912575.64391440293</v>
      </c>
      <c r="R6" s="181">
        <f>IF(R5&lt;=IN!$C$47,SUM(R7:R12),0)</f>
        <v>920486.7962729095</v>
      </c>
      <c r="S6" s="181">
        <f>IF(S5&lt;=IN!$C$47,SUM(S7:S12),0)</f>
        <v>928525.49416594137</v>
      </c>
      <c r="T6" s="181">
        <f>IF(T5&lt;=IN!$C$47,SUM(T7:T12),0)</f>
        <v>936693.98172906227</v>
      </c>
      <c r="U6" s="181">
        <f>IF(U5&lt;=IN!$C$47,SUM(U7:U12),0)</f>
        <v>944994.544912796</v>
      </c>
      <c r="V6" s="181">
        <f>IF(V5&lt;=IN!$C$47,SUM(V7:V12),0)</f>
        <v>953429.51228824886</v>
      </c>
      <c r="W6" s="181">
        <f>IF(W5&lt;=IN!$C$47,SUM(W7:W12),0)</f>
        <v>962001.25586853526</v>
      </c>
      <c r="X6" s="181">
        <f>IF(X5&lt;=IN!$C$47,SUM(X7:X12),0)</f>
        <v>970712.19194632536</v>
      </c>
      <c r="Y6" s="181">
        <f>IF(Y5&lt;=IN!$C$47,SUM(Y7:Y12),0)</f>
        <v>979564.78194782813</v>
      </c>
      <c r="Z6" s="181">
        <f>IF(Z5&lt;=IN!$C$47,SUM(Z7:Z12),0)</f>
        <v>0</v>
      </c>
      <c r="AA6" s="181">
        <f>IF(AA5&lt;=IN!$C$47,SUM(AA7:AA12),0)</f>
        <v>0</v>
      </c>
      <c r="AB6" s="181">
        <f>IF(AB5&lt;=IN!$C$47,SUM(AB7:AB12),0)</f>
        <v>0</v>
      </c>
      <c r="AC6" s="181">
        <f>IF(AC5&lt;=IN!$C$47,SUM(AC7:AC12),0)</f>
        <v>0</v>
      </c>
      <c r="AD6" s="181">
        <f>IF(AD5&lt;=IN!$C$47,SUM(AD7:AD12),0)</f>
        <v>0</v>
      </c>
      <c r="AE6" s="181">
        <f>IF(AE5&lt;=IN!$C$47,SUM(AE7:AE12),0)</f>
        <v>0</v>
      </c>
      <c r="AF6" s="181">
        <f>IF(AF5&lt;=IN!$C$47,SUM(AF7:AF12),0)</f>
        <v>0</v>
      </c>
      <c r="AG6" s="181"/>
    </row>
    <row r="7" spans="2:33" x14ac:dyDescent="0.25">
      <c r="B7" s="182" t="s">
        <v>208</v>
      </c>
      <c r="C7" s="183">
        <f>IN!I5</f>
        <v>183534.63616000002</v>
      </c>
      <c r="D7" s="183">
        <f>(IN!C16+(IN!C16*2%))*IN!C18</f>
        <v>187205.32888320001</v>
      </c>
      <c r="E7" s="183">
        <f>D7+(D7*2%)</f>
        <v>190949.43546086401</v>
      </c>
      <c r="F7" s="183">
        <f t="shared" ref="F7:Y7" si="1">E7+(E7*2%)</f>
        <v>194768.4241700813</v>
      </c>
      <c r="G7" s="183">
        <f t="shared" si="1"/>
        <v>198663.79265348293</v>
      </c>
      <c r="H7" s="183">
        <f t="shared" si="1"/>
        <v>202637.06850655258</v>
      </c>
      <c r="I7" s="183">
        <f t="shared" si="1"/>
        <v>206689.80987668363</v>
      </c>
      <c r="J7" s="183">
        <f t="shared" si="1"/>
        <v>210823.6060742173</v>
      </c>
      <c r="K7" s="183">
        <f t="shared" si="1"/>
        <v>215040.07819570164</v>
      </c>
      <c r="L7" s="183">
        <f t="shared" si="1"/>
        <v>219340.87975961567</v>
      </c>
      <c r="M7" s="183">
        <f t="shared" si="1"/>
        <v>223727.69735480798</v>
      </c>
      <c r="N7" s="183">
        <f t="shared" si="1"/>
        <v>228202.25130190415</v>
      </c>
      <c r="O7" s="183">
        <f t="shared" si="1"/>
        <v>232766.29632794223</v>
      </c>
      <c r="P7" s="183">
        <f t="shared" si="1"/>
        <v>237421.62225450107</v>
      </c>
      <c r="Q7" s="183">
        <f t="shared" si="1"/>
        <v>242170.0546995911</v>
      </c>
      <c r="R7" s="183">
        <f t="shared" si="1"/>
        <v>247013.45579358292</v>
      </c>
      <c r="S7" s="183">
        <f t="shared" si="1"/>
        <v>251953.72490945458</v>
      </c>
      <c r="T7" s="183">
        <f t="shared" si="1"/>
        <v>256992.79940764367</v>
      </c>
      <c r="U7" s="183">
        <f t="shared" si="1"/>
        <v>262132.65539579655</v>
      </c>
      <c r="V7" s="183">
        <f t="shared" si="1"/>
        <v>267375.30850371247</v>
      </c>
      <c r="W7" s="183">
        <f t="shared" si="1"/>
        <v>272722.81467378669</v>
      </c>
      <c r="X7" s="183">
        <f t="shared" si="1"/>
        <v>278177.27096726245</v>
      </c>
      <c r="Y7" s="183">
        <f t="shared" si="1"/>
        <v>283740.81638660771</v>
      </c>
      <c r="Z7" s="183">
        <f>IF(Z5&lt;=IN!$C$47,IN!$I$5,0)</f>
        <v>0</v>
      </c>
      <c r="AA7" s="183">
        <f>IF(AA5&lt;=IN!$C$47,IN!$I$5,0)</f>
        <v>0</v>
      </c>
      <c r="AB7" s="183">
        <f>IF(AB5&lt;=IN!$C$47,IN!$I$5,0)</f>
        <v>0</v>
      </c>
      <c r="AC7" s="183">
        <f>IF(AC5&lt;=IN!$C$47,IN!$I$5,0)</f>
        <v>0</v>
      </c>
      <c r="AD7" s="183">
        <f>IF(AD5&lt;=IN!$C$47,IN!$I$5,0)</f>
        <v>0</v>
      </c>
      <c r="AE7" s="183">
        <f>IF(AE5&lt;=IN!$C$47,IN!$I$5,0)</f>
        <v>0</v>
      </c>
      <c r="AF7" s="183">
        <f>IF(AF5&lt;=IN!$C$47,IN!$I$5,0)</f>
        <v>0</v>
      </c>
      <c r="AG7" s="183"/>
    </row>
    <row r="8" spans="2:33" ht="41.25" customHeight="1" x14ac:dyDescent="0.25">
      <c r="B8" s="184" t="s">
        <v>314</v>
      </c>
      <c r="C8" s="183">
        <f>IN!I6</f>
        <v>187023</v>
      </c>
      <c r="D8" s="183">
        <f>C8+(C8*1%)</f>
        <v>188893.23</v>
      </c>
      <c r="E8" s="183">
        <f t="shared" ref="E8:T11" si="2">D8+(D8*1%)</f>
        <v>190782.1623</v>
      </c>
      <c r="F8" s="183">
        <f t="shared" si="2"/>
        <v>192689.98392299999</v>
      </c>
      <c r="G8" s="183">
        <f t="shared" si="2"/>
        <v>194616.88376222999</v>
      </c>
      <c r="H8" s="183">
        <f t="shared" si="2"/>
        <v>196563.05259985229</v>
      </c>
      <c r="I8" s="183">
        <f t="shared" si="2"/>
        <v>198528.6831258508</v>
      </c>
      <c r="J8" s="183">
        <f t="shared" si="2"/>
        <v>200513.96995710931</v>
      </c>
      <c r="K8" s="183">
        <f t="shared" si="2"/>
        <v>202519.1096566804</v>
      </c>
      <c r="L8" s="183">
        <f t="shared" si="2"/>
        <v>204544.3007532472</v>
      </c>
      <c r="M8" s="183">
        <f t="shared" si="2"/>
        <v>206589.74376077967</v>
      </c>
      <c r="N8" s="183">
        <f t="shared" si="2"/>
        <v>208655.64119838749</v>
      </c>
      <c r="O8" s="183">
        <f t="shared" si="2"/>
        <v>210742.19761037137</v>
      </c>
      <c r="P8" s="183">
        <f t="shared" si="2"/>
        <v>212849.61958647508</v>
      </c>
      <c r="Q8" s="183">
        <f t="shared" si="2"/>
        <v>214978.11578233982</v>
      </c>
      <c r="R8" s="183">
        <f t="shared" si="2"/>
        <v>217127.89694016322</v>
      </c>
      <c r="S8" s="183">
        <f t="shared" si="2"/>
        <v>219299.17590956486</v>
      </c>
      <c r="T8" s="183">
        <f t="shared" si="2"/>
        <v>221492.16766866052</v>
      </c>
      <c r="U8" s="183">
        <f t="shared" ref="U8:Y11" si="3">T8+(T8*1%)</f>
        <v>223707.08934534714</v>
      </c>
      <c r="V8" s="183">
        <f t="shared" si="3"/>
        <v>225944.1602388006</v>
      </c>
      <c r="W8" s="183">
        <f t="shared" si="3"/>
        <v>228203.60184118862</v>
      </c>
      <c r="X8" s="183">
        <f t="shared" si="3"/>
        <v>230485.63785960051</v>
      </c>
      <c r="Y8" s="183">
        <f t="shared" si="3"/>
        <v>232790.49423819652</v>
      </c>
      <c r="Z8" s="183">
        <f>IF(Z5&lt;=IN!$C$47,IN!$I$6,0)</f>
        <v>0</v>
      </c>
      <c r="AA8" s="183">
        <f>IF(AA5&lt;=IN!$C$47,IN!$I$6,0)</f>
        <v>0</v>
      </c>
      <c r="AB8" s="183">
        <f>IF(AB5&lt;=IN!$C$47,IN!$I$6,0)</f>
        <v>0</v>
      </c>
      <c r="AC8" s="183">
        <f>IF(AC5&lt;=IN!$C$47,IN!$I$6,0)</f>
        <v>0</v>
      </c>
      <c r="AD8" s="183">
        <f>IF(AD5&lt;=IN!$C$47,IN!$I$6,0)</f>
        <v>0</v>
      </c>
      <c r="AE8" s="183">
        <f>IF(AE5&lt;=IN!$C$47,IN!$I$6,0)</f>
        <v>0</v>
      </c>
      <c r="AF8" s="183">
        <f>IF(AF5&lt;=IN!$C$47,IN!$I$6,0)</f>
        <v>0</v>
      </c>
      <c r="AG8" s="183"/>
    </row>
    <row r="9" spans="2:33" ht="41.25" customHeight="1" x14ac:dyDescent="0.25">
      <c r="B9" s="184" t="s">
        <v>315</v>
      </c>
      <c r="C9" s="183">
        <f>IN!I7</f>
        <v>19860</v>
      </c>
      <c r="D9" s="183">
        <f>C9+(C9*1%)</f>
        <v>20058.599999999999</v>
      </c>
      <c r="E9" s="183">
        <f t="shared" si="2"/>
        <v>20259.185999999998</v>
      </c>
      <c r="F9" s="183">
        <f t="shared" si="2"/>
        <v>20461.777859999998</v>
      </c>
      <c r="G9" s="183">
        <f t="shared" si="2"/>
        <v>20666.395638599999</v>
      </c>
      <c r="H9" s="183">
        <f t="shared" si="2"/>
        <v>20873.059594986</v>
      </c>
      <c r="I9" s="183">
        <f t="shared" si="2"/>
        <v>21081.790190935859</v>
      </c>
      <c r="J9" s="183">
        <f t="shared" si="2"/>
        <v>21292.608092845217</v>
      </c>
      <c r="K9" s="183">
        <f t="shared" si="2"/>
        <v>21505.534173773671</v>
      </c>
      <c r="L9" s="183">
        <f t="shared" si="2"/>
        <v>21720.589515511409</v>
      </c>
      <c r="M9" s="183">
        <f t="shared" si="2"/>
        <v>21937.795410666524</v>
      </c>
      <c r="N9" s="183">
        <f t="shared" si="2"/>
        <v>22157.173364773189</v>
      </c>
      <c r="O9" s="183">
        <f t="shared" si="2"/>
        <v>22378.745098420921</v>
      </c>
      <c r="P9" s="183">
        <f t="shared" si="2"/>
        <v>22602.532549405129</v>
      </c>
      <c r="Q9" s="183">
        <f t="shared" si="2"/>
        <v>22828.557874899179</v>
      </c>
      <c r="R9" s="183">
        <f t="shared" si="2"/>
        <v>23056.843453648173</v>
      </c>
      <c r="S9" s="183">
        <f t="shared" si="2"/>
        <v>23287.411888184655</v>
      </c>
      <c r="T9" s="183">
        <f t="shared" si="2"/>
        <v>23520.286007066501</v>
      </c>
      <c r="U9" s="183">
        <f t="shared" si="3"/>
        <v>23755.488867137166</v>
      </c>
      <c r="V9" s="183">
        <f t="shared" si="3"/>
        <v>23993.04375580854</v>
      </c>
      <c r="W9" s="183">
        <f t="shared" si="3"/>
        <v>24232.974193366626</v>
      </c>
      <c r="X9" s="183">
        <f t="shared" si="3"/>
        <v>24475.303935300293</v>
      </c>
      <c r="Y9" s="183">
        <f t="shared" si="3"/>
        <v>24720.056974653296</v>
      </c>
      <c r="Z9" s="183"/>
      <c r="AA9" s="183"/>
      <c r="AB9" s="183"/>
      <c r="AC9" s="183"/>
      <c r="AD9" s="183"/>
      <c r="AE9" s="183"/>
      <c r="AF9" s="183"/>
      <c r="AG9" s="183"/>
    </row>
    <row r="10" spans="2:33" ht="41.25" customHeight="1" x14ac:dyDescent="0.25">
      <c r="B10" s="184" t="s">
        <v>544</v>
      </c>
      <c r="C10" s="183"/>
      <c r="D10" s="183">
        <f>C10+(C10*1%)</f>
        <v>0</v>
      </c>
      <c r="E10" s="183">
        <f t="shared" si="2"/>
        <v>0</v>
      </c>
      <c r="F10" s="183">
        <f t="shared" si="2"/>
        <v>0</v>
      </c>
      <c r="G10" s="183">
        <f t="shared" si="2"/>
        <v>0</v>
      </c>
      <c r="H10" s="183">
        <f t="shared" si="2"/>
        <v>0</v>
      </c>
      <c r="I10" s="183">
        <f t="shared" si="2"/>
        <v>0</v>
      </c>
      <c r="J10" s="183">
        <f t="shared" si="2"/>
        <v>0</v>
      </c>
      <c r="K10" s="183">
        <f t="shared" si="2"/>
        <v>0</v>
      </c>
      <c r="L10" s="183">
        <f t="shared" si="2"/>
        <v>0</v>
      </c>
      <c r="M10" s="183">
        <f t="shared" si="2"/>
        <v>0</v>
      </c>
      <c r="N10" s="183">
        <f t="shared" si="2"/>
        <v>0</v>
      </c>
      <c r="O10" s="183">
        <f t="shared" si="2"/>
        <v>0</v>
      </c>
      <c r="P10" s="183">
        <f t="shared" si="2"/>
        <v>0</v>
      </c>
      <c r="Q10" s="183">
        <f t="shared" si="2"/>
        <v>0</v>
      </c>
      <c r="R10" s="183">
        <f t="shared" si="2"/>
        <v>0</v>
      </c>
      <c r="S10" s="183">
        <f t="shared" si="2"/>
        <v>0</v>
      </c>
      <c r="T10" s="183">
        <f t="shared" si="2"/>
        <v>0</v>
      </c>
      <c r="U10" s="183">
        <f t="shared" si="3"/>
        <v>0</v>
      </c>
      <c r="V10" s="183">
        <f t="shared" si="3"/>
        <v>0</v>
      </c>
      <c r="W10" s="183">
        <f t="shared" si="3"/>
        <v>0</v>
      </c>
      <c r="X10" s="183">
        <f t="shared" si="3"/>
        <v>0</v>
      </c>
      <c r="Y10" s="183">
        <f t="shared" si="3"/>
        <v>0</v>
      </c>
      <c r="Z10" s="183"/>
      <c r="AA10" s="183"/>
      <c r="AB10" s="183"/>
      <c r="AC10" s="183"/>
      <c r="AD10" s="183"/>
      <c r="AE10" s="183"/>
      <c r="AF10" s="183"/>
      <c r="AG10" s="183"/>
    </row>
    <row r="11" spans="2:33" ht="19.149999999999999" customHeight="1" x14ac:dyDescent="0.25">
      <c r="B11" s="184" t="s">
        <v>504</v>
      </c>
      <c r="C11" s="183">
        <f>IN!I9</f>
        <v>60000</v>
      </c>
      <c r="D11" s="183">
        <f>C11+(C11*1%)</f>
        <v>60600</v>
      </c>
      <c r="E11" s="183">
        <f t="shared" si="2"/>
        <v>61206</v>
      </c>
      <c r="F11" s="183">
        <f t="shared" si="2"/>
        <v>61818.06</v>
      </c>
      <c r="G11" s="183">
        <f t="shared" si="2"/>
        <v>62436.240599999997</v>
      </c>
      <c r="H11" s="183">
        <f t="shared" si="2"/>
        <v>63060.603005999998</v>
      </c>
      <c r="I11" s="183">
        <f t="shared" si="2"/>
        <v>63691.209036059998</v>
      </c>
      <c r="J11" s="183">
        <f t="shared" si="2"/>
        <v>64328.121126420599</v>
      </c>
      <c r="K11" s="183">
        <f t="shared" si="2"/>
        <v>64971.402337684805</v>
      </c>
      <c r="L11" s="183">
        <f t="shared" si="2"/>
        <v>65621.11636106165</v>
      </c>
      <c r="M11" s="183">
        <f t="shared" si="2"/>
        <v>66277.327524672262</v>
      </c>
      <c r="N11" s="183">
        <f t="shared" si="2"/>
        <v>66940.10079991899</v>
      </c>
      <c r="O11" s="183">
        <f t="shared" si="2"/>
        <v>67609.501807918175</v>
      </c>
      <c r="P11" s="183">
        <f t="shared" si="2"/>
        <v>68285.59682599736</v>
      </c>
      <c r="Q11" s="183">
        <f t="shared" si="2"/>
        <v>68968.452794257333</v>
      </c>
      <c r="R11" s="183">
        <f t="shared" si="2"/>
        <v>69658.137322199909</v>
      </c>
      <c r="S11" s="183">
        <f t="shared" si="2"/>
        <v>70354.718695421907</v>
      </c>
      <c r="T11" s="183">
        <f t="shared" si="2"/>
        <v>71058.26588237613</v>
      </c>
      <c r="U11" s="183">
        <f t="shared" si="3"/>
        <v>71768.848541199884</v>
      </c>
      <c r="V11" s="183">
        <f t="shared" si="3"/>
        <v>72486.537026611884</v>
      </c>
      <c r="W11" s="183">
        <f t="shared" si="3"/>
        <v>73211.402396878009</v>
      </c>
      <c r="X11" s="183">
        <f t="shared" si="3"/>
        <v>73943.51642084679</v>
      </c>
      <c r="Y11" s="183">
        <f t="shared" si="3"/>
        <v>74682.951585055256</v>
      </c>
      <c r="Z11" s="183"/>
      <c r="AA11" s="183"/>
      <c r="AB11" s="183"/>
      <c r="AC11" s="183"/>
      <c r="AD11" s="183"/>
      <c r="AE11" s="183"/>
      <c r="AF11" s="183"/>
      <c r="AG11" s="183"/>
    </row>
    <row r="12" spans="2:33" x14ac:dyDescent="0.25">
      <c r="B12" s="185" t="s">
        <v>209</v>
      </c>
      <c r="C12" s="186">
        <f>IF(C5&lt;=IN!$C$47,IN!$I$10,0)</f>
        <v>363630.46276331536</v>
      </c>
      <c r="D12" s="186">
        <f>IF(D5&lt;=IN!$C$47,IN!$I$10,0)</f>
        <v>363630.46276331536</v>
      </c>
      <c r="E12" s="186">
        <f>IF(E5&lt;=IN!$C$47,IN!$I$10,0)</f>
        <v>363630.46276331536</v>
      </c>
      <c r="F12" s="186">
        <f>IF(F5&lt;=IN!$C$47,IN!$I$10,0)</f>
        <v>363630.46276331536</v>
      </c>
      <c r="G12" s="186">
        <f>IF(G5&lt;=IN!$C$47,IN!$I$10,0)</f>
        <v>363630.46276331536</v>
      </c>
      <c r="H12" s="186">
        <f>IF(H5&lt;=IN!$C$47,IN!$I$10,0)</f>
        <v>363630.46276331536</v>
      </c>
      <c r="I12" s="186">
        <f>IF(I5&lt;=IN!$C$47,IN!$I$10,0)</f>
        <v>363630.46276331536</v>
      </c>
      <c r="J12" s="186">
        <f>IF(J5&lt;=IN!$C$47,IN!$I$10,0)</f>
        <v>363630.46276331536</v>
      </c>
      <c r="K12" s="186">
        <f>IF(K5&lt;=IN!$C$47,IN!$I$10,0)</f>
        <v>363630.46276331536</v>
      </c>
      <c r="L12" s="186">
        <f>IF(L5&lt;=IN!$C$47,IN!$I$10,0)</f>
        <v>363630.46276331536</v>
      </c>
      <c r="M12" s="186">
        <f>IF(M5&lt;=IN!$C$47,IN!$I$10,0)</f>
        <v>363630.46276331536</v>
      </c>
      <c r="N12" s="186">
        <f>IF(N5&lt;=IN!$C$47,IN!$I$10,0)</f>
        <v>363630.46276331536</v>
      </c>
      <c r="O12" s="186">
        <f>IF(O5&lt;=IN!$C$47,IN!$I$10,0)</f>
        <v>363630.46276331536</v>
      </c>
      <c r="P12" s="186">
        <f>IF(P5&lt;=IN!$C$47,IN!$I$10,0)</f>
        <v>363630.46276331536</v>
      </c>
      <c r="Q12" s="186">
        <f>IF(Q5&lt;=IN!$C$47,IN!$I$10,0)</f>
        <v>363630.46276331536</v>
      </c>
      <c r="R12" s="186">
        <f>IF(R5&lt;=IN!$C$47,IN!$I$10,0)</f>
        <v>363630.46276331536</v>
      </c>
      <c r="S12" s="186">
        <f>IF(S5&lt;=IN!$C$47,IN!$I$10,0)</f>
        <v>363630.46276331536</v>
      </c>
      <c r="T12" s="186">
        <f>IF(T5&lt;=IN!$C$47,IN!$I$10,0)</f>
        <v>363630.46276331536</v>
      </c>
      <c r="U12" s="186">
        <f>IF(U5&lt;=IN!$C$47,IN!$I$10,0)</f>
        <v>363630.46276331536</v>
      </c>
      <c r="V12" s="186">
        <f>IF(V5&lt;=IN!$C$47,IN!$I$10,0)</f>
        <v>363630.46276331536</v>
      </c>
      <c r="W12" s="186">
        <f>IF(W5&lt;=IN!$C$47,IN!$I$10,0)</f>
        <v>363630.46276331536</v>
      </c>
      <c r="X12" s="186">
        <f>IF(X5&lt;=IN!$C$47,IN!$I$10,0)</f>
        <v>363630.46276331536</v>
      </c>
      <c r="Y12" s="186">
        <f>IF(Y5&lt;=IN!$C$47,IN!$I$10,0)</f>
        <v>363630.46276331536</v>
      </c>
      <c r="Z12" s="186">
        <f>IF(Z5&lt;=IN!$C$47,IN!$I$10,0)</f>
        <v>0</v>
      </c>
      <c r="AA12" s="186">
        <f>IF(AA5&lt;=IN!$C$47,IN!$I$10,0)</f>
        <v>0</v>
      </c>
      <c r="AB12" s="186">
        <f>IF(AB5&lt;=IN!$C$47,IN!$I$10,0)</f>
        <v>0</v>
      </c>
      <c r="AC12" s="186">
        <f>IF(AC5&lt;=IN!$C$47,IN!$I$10,0)</f>
        <v>0</v>
      </c>
      <c r="AD12" s="186">
        <f>IF(AD5&lt;=IN!$C$47,IN!$I$10,0)</f>
        <v>0</v>
      </c>
      <c r="AE12" s="186">
        <f>IF(AE5&lt;=IN!$C$47,IN!$I$10,0)</f>
        <v>0</v>
      </c>
      <c r="AF12" s="186">
        <f>IF(AF5&lt;=IN!$C$47,IN!$I$10,0)</f>
        <v>0</v>
      </c>
      <c r="AG12" s="186"/>
    </row>
    <row r="13" spans="2:33" x14ac:dyDescent="0.25">
      <c r="B13" s="187" t="s">
        <v>210</v>
      </c>
      <c r="C13" s="181"/>
      <c r="D13" s="181"/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</row>
    <row r="14" spans="2:33" x14ac:dyDescent="0.25">
      <c r="B14" s="188" t="s">
        <v>210</v>
      </c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83"/>
      <c r="AD14" s="183"/>
      <c r="AE14" s="183"/>
      <c r="AF14" s="183"/>
      <c r="AG14" s="183"/>
    </row>
    <row r="15" spans="2:33" s="428" customFormat="1" x14ac:dyDescent="0.25">
      <c r="B15" s="429" t="s">
        <v>211</v>
      </c>
      <c r="C15" s="430">
        <f t="shared" ref="C15:AF15" si="4">SUM(C7:C14)</f>
        <v>814048.09892331529</v>
      </c>
      <c r="D15" s="430">
        <f t="shared" si="4"/>
        <v>820387.62164651533</v>
      </c>
      <c r="E15" s="430">
        <f t="shared" si="4"/>
        <v>826827.24652417935</v>
      </c>
      <c r="F15" s="430">
        <f t="shared" si="4"/>
        <v>833368.70871639671</v>
      </c>
      <c r="G15" s="430">
        <f t="shared" si="4"/>
        <v>840013.77541762823</v>
      </c>
      <c r="H15" s="430">
        <f t="shared" si="4"/>
        <v>846764.24647070619</v>
      </c>
      <c r="I15" s="430">
        <f t="shared" si="4"/>
        <v>853621.95499284565</v>
      </c>
      <c r="J15" s="430">
        <f t="shared" si="4"/>
        <v>860588.76801390783</v>
      </c>
      <c r="K15" s="430">
        <f t="shared" si="4"/>
        <v>867666.58712715586</v>
      </c>
      <c r="L15" s="430">
        <f t="shared" si="4"/>
        <v>874857.34915275127</v>
      </c>
      <c r="M15" s="430">
        <f t="shared" si="4"/>
        <v>882163.02681424178</v>
      </c>
      <c r="N15" s="430">
        <f t="shared" si="4"/>
        <v>889585.62942829914</v>
      </c>
      <c r="O15" s="430">
        <f t="shared" si="4"/>
        <v>897127.20360796805</v>
      </c>
      <c r="P15" s="430">
        <f t="shared" si="4"/>
        <v>904789.83397969394</v>
      </c>
      <c r="Q15" s="430">
        <f t="shared" si="4"/>
        <v>912575.64391440293</v>
      </c>
      <c r="R15" s="430">
        <f t="shared" si="4"/>
        <v>920486.7962729095</v>
      </c>
      <c r="S15" s="430">
        <f t="shared" si="4"/>
        <v>928525.49416594137</v>
      </c>
      <c r="T15" s="430">
        <f t="shared" si="4"/>
        <v>936693.98172906227</v>
      </c>
      <c r="U15" s="430">
        <f t="shared" si="4"/>
        <v>944994.544912796</v>
      </c>
      <c r="V15" s="430">
        <f t="shared" si="4"/>
        <v>953429.51228824886</v>
      </c>
      <c r="W15" s="430">
        <f t="shared" si="4"/>
        <v>962001.25586853526</v>
      </c>
      <c r="X15" s="430">
        <f t="shared" si="4"/>
        <v>970712.19194632536</v>
      </c>
      <c r="Y15" s="430">
        <f t="shared" si="4"/>
        <v>979564.78194782813</v>
      </c>
      <c r="Z15" s="430">
        <f t="shared" si="4"/>
        <v>0</v>
      </c>
      <c r="AA15" s="430">
        <f t="shared" si="4"/>
        <v>0</v>
      </c>
      <c r="AB15" s="430">
        <f t="shared" si="4"/>
        <v>0</v>
      </c>
      <c r="AC15" s="430">
        <f t="shared" si="4"/>
        <v>0</v>
      </c>
      <c r="AD15" s="430">
        <f t="shared" si="4"/>
        <v>0</v>
      </c>
      <c r="AE15" s="430">
        <f t="shared" si="4"/>
        <v>0</v>
      </c>
      <c r="AF15" s="430">
        <f t="shared" si="4"/>
        <v>0</v>
      </c>
      <c r="AG15" s="430"/>
    </row>
    <row r="16" spans="2:33" x14ac:dyDescent="0.25">
      <c r="B16" s="189" t="s">
        <v>212</v>
      </c>
      <c r="C16" s="183">
        <v>446582.92499999999</v>
      </c>
      <c r="D16" s="183">
        <f>(IN!D16+(IN!D16*2%))*IN!C18</f>
        <v>186376.98672000002</v>
      </c>
      <c r="E16" s="183">
        <f>D16+(D16*2%)</f>
        <v>190104.52645440001</v>
      </c>
      <c r="F16" s="183">
        <f t="shared" ref="F16:Y16" si="5">E16+(E16*2%)</f>
        <v>193906.616983488</v>
      </c>
      <c r="G16" s="183">
        <f t="shared" si="5"/>
        <v>197784.74932315777</v>
      </c>
      <c r="H16" s="183">
        <f t="shared" si="5"/>
        <v>201740.44430962091</v>
      </c>
      <c r="I16" s="183">
        <f t="shared" si="5"/>
        <v>205775.25319581333</v>
      </c>
      <c r="J16" s="183">
        <f t="shared" si="5"/>
        <v>209890.7582597296</v>
      </c>
      <c r="K16" s="183">
        <f t="shared" si="5"/>
        <v>214088.57342492419</v>
      </c>
      <c r="L16" s="183">
        <f t="shared" si="5"/>
        <v>218370.34489342268</v>
      </c>
      <c r="M16" s="183">
        <f t="shared" si="5"/>
        <v>222737.75179129114</v>
      </c>
      <c r="N16" s="183">
        <f t="shared" si="5"/>
        <v>227192.50682711697</v>
      </c>
      <c r="O16" s="183">
        <f t="shared" si="5"/>
        <v>231736.35696365932</v>
      </c>
      <c r="P16" s="183">
        <f t="shared" si="5"/>
        <v>236371.08410293251</v>
      </c>
      <c r="Q16" s="183">
        <f t="shared" si="5"/>
        <v>241098.50578499117</v>
      </c>
      <c r="R16" s="183">
        <f t="shared" si="5"/>
        <v>245920.475900691</v>
      </c>
      <c r="S16" s="183">
        <f t="shared" si="5"/>
        <v>250838.88541870483</v>
      </c>
      <c r="T16" s="183">
        <f t="shared" si="5"/>
        <v>255855.66312707894</v>
      </c>
      <c r="U16" s="183">
        <f t="shared" si="5"/>
        <v>260972.77638962053</v>
      </c>
      <c r="V16" s="183">
        <f t="shared" si="5"/>
        <v>266192.23191741295</v>
      </c>
      <c r="W16" s="183">
        <f t="shared" si="5"/>
        <v>271516.07655576122</v>
      </c>
      <c r="X16" s="183">
        <f t="shared" si="5"/>
        <v>276946.39808687643</v>
      </c>
      <c r="Y16" s="183">
        <f t="shared" si="5"/>
        <v>282485.32604861399</v>
      </c>
      <c r="Z16" s="183">
        <f>IF(Z5&lt;=IN!$C$47,IF(Z5&lt;=ROUNDUP(IN!$C$49,0),(IF(IN!$C$49&lt;0.9,IN!$C$49*IN!$C$17+(1-IN!$C$49)*IN!$C$18,0)+IF(AND(IN!$C$49&gt;=0.9,IN!$C$49&lt;=1),IF(Z5=1,IN!$C$17*0.985,IN!$C$18),0)+IF(IN!$C$49&gt;1,IF(Z5=1,IN!$C$17*0.985,IN!$C$17-((IN!$C$17-IN!$C$18)/ROUND(IN!$C$49,1))*('CE CC opz2'!Z5-1)),0)),IN!$C$18)*IN!$C$16,0)</f>
        <v>0</v>
      </c>
      <c r="AA16" s="183">
        <f>IF(AA5&lt;=IN!$C$47,IF(AA5&lt;=ROUNDUP(IN!$C$49,0),(IF(IN!$C$49&lt;0.9,IN!$C$49*IN!$C$17+(1-IN!$C$49)*IN!$C$18,0)+IF(AND(IN!$C$49&gt;=0.9,IN!$C$49&lt;=1),IF(AA5=1,IN!$C$17*0.985,IN!$C$18),0)+IF(IN!$C$49&gt;1,IF(AA5=1,IN!$C$17*0.985,IN!$C$17-((IN!$C$17-IN!$C$18)/ROUND(IN!$C$49,1))*('CE CC opz2'!AA5-1)),0)),IN!$C$18)*IN!$C$16,0)</f>
        <v>0</v>
      </c>
      <c r="AB16" s="183">
        <f>IF(AB5&lt;=IN!$C$47,IF(AB5&lt;=ROUNDUP(IN!$C$49,0),(IF(IN!$C$49&lt;0.9,IN!$C$49*IN!$C$17+(1-IN!$C$49)*IN!$C$18,0)+IF(AND(IN!$C$49&gt;=0.9,IN!$C$49&lt;=1),IF(AB5=1,IN!$C$17*0.985,IN!$C$18),0)+IF(IN!$C$49&gt;1,IF(AB5=1,IN!$C$17*0.985,IN!$C$17-((IN!$C$17-IN!$C$18)/ROUND(IN!$C$49,1))*('CE CC opz2'!AB5-1)),0)),IN!$C$18)*IN!$C$16,0)</f>
        <v>0</v>
      </c>
      <c r="AC16" s="183">
        <f>IF(AC5&lt;=IN!$C$47,IF(AC5&lt;=ROUNDUP(IN!$C$49,0),(IF(IN!$C$49&lt;0.9,IN!$C$49*IN!$C$17+(1-IN!$C$49)*IN!$C$18,0)+IF(AND(IN!$C$49&gt;=0.9,IN!$C$49&lt;=1),IF(AC5=1,IN!$C$17*0.985,IN!$C$18),0)+IF(IN!$C$49&gt;1,IF(AC5=1,IN!$C$17*0.985,IN!$C$17-((IN!$C$17-IN!$C$18)/ROUND(IN!$C$49,1))*('CE CC opz2'!AC5-1)),0)),IN!$C$18)*IN!$C$16,0)</f>
        <v>0</v>
      </c>
      <c r="AD16" s="183">
        <f>IF(AD5&lt;=IN!$C$47,IF(AD5&lt;=ROUNDUP(IN!$C$49,0),(IF(IN!$C$49&lt;0.9,IN!$C$49*IN!$C$17+(1-IN!$C$49)*IN!$C$18,0)+IF(AND(IN!$C$49&gt;=0.9,IN!$C$49&lt;=1),IF(AD5=1,IN!$C$17*0.985,IN!$C$18),0)+IF(IN!$C$49&gt;1,IF(AD5=1,IN!$C$17*0.985,IN!$C$17-((IN!$C$17-IN!$C$18)/ROUND(IN!$C$49,1))*('CE CC opz2'!AD5-1)),0)),IN!$C$18)*IN!$C$16,0)</f>
        <v>0</v>
      </c>
      <c r="AE16" s="183">
        <f>IF(AE5&lt;=IN!$C$47,IF(AE5&lt;=ROUNDUP(IN!$C$49,0),(IF(IN!$C$49&lt;0.9,IN!$C$49*IN!$C$17+(1-IN!$C$49)*IN!$C$18,0)+IF(AND(IN!$C$49&gt;=0.9,IN!$C$49&lt;=1),IF(AE5=1,IN!$C$17*0.985,IN!$C$18),0)+IF(IN!$C$49&gt;1,IF(AE5=1,IN!$C$17*0.985,IN!$C$17-((IN!$C$17-IN!$C$18)/ROUND(IN!$C$49,1))*('CE CC opz2'!AE5-1)),0)),IN!$C$18)*IN!$C$16,0)</f>
        <v>0</v>
      </c>
      <c r="AF16" s="183">
        <f>IF(AF5&lt;=IN!$C$47,IF(AF5&lt;=ROUNDUP(IN!$C$49,0),(IF(IN!$C$49&lt;0.9,IN!$C$49*IN!$C$17+(1-IN!$C$49)*IN!$C$18,0)+IF(AND(IN!$C$49&gt;=0.9,IN!$C$49&lt;=1),IF(AF5=1,IN!$C$17*0.985,IN!$C$18),0)+IF(IN!$C$49&gt;1,IF(AF5=1,IN!$C$17*0.985,IN!$C$17-((IN!$C$17-IN!$C$18)/ROUND(IN!$C$49,1))*('CE CC opz2'!AF5-1)),0)),IN!$C$18)*IN!$C$16,0)</f>
        <v>0</v>
      </c>
      <c r="AG16" s="183"/>
    </row>
    <row r="17" spans="2:33" x14ac:dyDescent="0.25">
      <c r="B17" s="189" t="s">
        <v>489</v>
      </c>
      <c r="C17" s="183">
        <f>IF(C5&lt;=IN!$C$47,IN!$C$26,0)</f>
        <v>53015.85</v>
      </c>
      <c r="D17" s="183">
        <f>C17+(C17*1%)</f>
        <v>53546.008499999996</v>
      </c>
      <c r="E17" s="183">
        <f t="shared" ref="E17:T17" si="6">D17+(D17*1%)</f>
        <v>54081.468584999995</v>
      </c>
      <c r="F17" s="183">
        <f t="shared" si="6"/>
        <v>54622.283270849992</v>
      </c>
      <c r="G17" s="183">
        <f t="shared" si="6"/>
        <v>55168.506103558495</v>
      </c>
      <c r="H17" s="183">
        <f t="shared" si="6"/>
        <v>55720.191164594078</v>
      </c>
      <c r="I17" s="183">
        <f t="shared" si="6"/>
        <v>56277.39307624002</v>
      </c>
      <c r="J17" s="183">
        <f t="shared" si="6"/>
        <v>56840.167007002419</v>
      </c>
      <c r="K17" s="183">
        <f t="shared" si="6"/>
        <v>57408.568677072442</v>
      </c>
      <c r="L17" s="183">
        <f t="shared" si="6"/>
        <v>57982.654363843169</v>
      </c>
      <c r="M17" s="183">
        <f t="shared" si="6"/>
        <v>58562.4809074816</v>
      </c>
      <c r="N17" s="183">
        <f t="shared" si="6"/>
        <v>59148.10571655642</v>
      </c>
      <c r="O17" s="183">
        <f t="shared" si="6"/>
        <v>59739.586773721981</v>
      </c>
      <c r="P17" s="183">
        <f t="shared" si="6"/>
        <v>60336.982641459203</v>
      </c>
      <c r="Q17" s="183">
        <f t="shared" si="6"/>
        <v>60940.352467873796</v>
      </c>
      <c r="R17" s="183">
        <f t="shared" si="6"/>
        <v>61549.755992552535</v>
      </c>
      <c r="S17" s="183">
        <f t="shared" si="6"/>
        <v>62165.253552478061</v>
      </c>
      <c r="T17" s="183">
        <f t="shared" si="6"/>
        <v>62786.906088002841</v>
      </c>
      <c r="U17" s="183">
        <f t="shared" ref="T17:Y28" si="7">T17+(T17*1%)</f>
        <v>63414.775148882873</v>
      </c>
      <c r="V17" s="183">
        <f t="shared" si="7"/>
        <v>64048.922900371705</v>
      </c>
      <c r="W17" s="183">
        <f t="shared" si="7"/>
        <v>64689.412129375422</v>
      </c>
      <c r="X17" s="183">
        <f t="shared" si="7"/>
        <v>65336.306250669179</v>
      </c>
      <c r="Y17" s="183">
        <f t="shared" si="7"/>
        <v>65989.669313175866</v>
      </c>
      <c r="Z17" s="183">
        <f>IF(Z5&lt;=IN!$C$47,IN!$C$26*IN!$C$15,0)</f>
        <v>0</v>
      </c>
      <c r="AA17" s="183">
        <f>IF(AA5&lt;=IN!$C$47,IN!$C$26*IN!$C$15,0)</f>
        <v>0</v>
      </c>
      <c r="AB17" s="183">
        <f>IF(AB5&lt;=IN!$C$47,IN!$C$26*IN!$C$15,0)</f>
        <v>0</v>
      </c>
      <c r="AC17" s="183">
        <f>IF(AC5&lt;=IN!$C$47,IN!$C$26*IN!$C$15,0)</f>
        <v>0</v>
      </c>
      <c r="AD17" s="183">
        <f>IF(AD5&lt;=IN!$C$47,IN!$C$26*IN!$C$15,0)</f>
        <v>0</v>
      </c>
      <c r="AE17" s="183">
        <f>IF(AE5&lt;=IN!$C$47,IN!$C$26*IN!$C$15,0)</f>
        <v>0</v>
      </c>
      <c r="AF17" s="183">
        <f>IF(AF5&lt;=IN!$C$47,IN!$C$26*IN!$C$15,0)</f>
        <v>0</v>
      </c>
      <c r="AG17" s="183"/>
    </row>
    <row r="18" spans="2:33" x14ac:dyDescent="0.25">
      <c r="B18" s="189" t="s">
        <v>213</v>
      </c>
      <c r="C18" s="183">
        <f>IF(C5&lt;=IN!$C$47,IN!$C$27,0)</f>
        <v>17372.355</v>
      </c>
      <c r="D18" s="183">
        <f t="shared" ref="D18:S28" si="8">C18+(C18*1%)</f>
        <v>17546.078549999998</v>
      </c>
      <c r="E18" s="183">
        <f t="shared" si="8"/>
        <v>17721.539335499998</v>
      </c>
      <c r="F18" s="183">
        <f t="shared" si="8"/>
        <v>17898.754728854998</v>
      </c>
      <c r="G18" s="183">
        <f t="shared" si="8"/>
        <v>18077.742276143548</v>
      </c>
      <c r="H18" s="183">
        <f t="shared" si="8"/>
        <v>18258.519698904984</v>
      </c>
      <c r="I18" s="183">
        <f t="shared" si="8"/>
        <v>18441.104895894034</v>
      </c>
      <c r="J18" s="183">
        <f t="shared" si="8"/>
        <v>18625.515944852974</v>
      </c>
      <c r="K18" s="183">
        <f t="shared" si="8"/>
        <v>18811.771104301504</v>
      </c>
      <c r="L18" s="183">
        <f t="shared" si="8"/>
        <v>18999.888815344519</v>
      </c>
      <c r="M18" s="183">
        <f t="shared" si="8"/>
        <v>19189.887703497963</v>
      </c>
      <c r="N18" s="183">
        <f t="shared" si="8"/>
        <v>19381.786580532942</v>
      </c>
      <c r="O18" s="183">
        <f t="shared" si="8"/>
        <v>19575.604446338271</v>
      </c>
      <c r="P18" s="183">
        <f t="shared" si="8"/>
        <v>19771.360490801653</v>
      </c>
      <c r="Q18" s="183">
        <f t="shared" si="8"/>
        <v>19969.074095709671</v>
      </c>
      <c r="R18" s="183">
        <f t="shared" si="8"/>
        <v>20168.764836666767</v>
      </c>
      <c r="S18" s="183">
        <f t="shared" si="8"/>
        <v>20370.452485033435</v>
      </c>
      <c r="T18" s="183">
        <f t="shared" si="7"/>
        <v>20574.157009883769</v>
      </c>
      <c r="U18" s="183">
        <f t="shared" si="7"/>
        <v>20779.898579982608</v>
      </c>
      <c r="V18" s="183">
        <f t="shared" si="7"/>
        <v>20987.697565782433</v>
      </c>
      <c r="W18" s="183">
        <f t="shared" si="7"/>
        <v>21197.574541440259</v>
      </c>
      <c r="X18" s="183">
        <f t="shared" si="7"/>
        <v>21409.550286854661</v>
      </c>
      <c r="Y18" s="183">
        <f t="shared" si="7"/>
        <v>21623.645789723207</v>
      </c>
      <c r="Z18" s="183"/>
      <c r="AA18" s="183"/>
      <c r="AB18" s="183"/>
      <c r="AC18" s="183"/>
      <c r="AD18" s="183"/>
      <c r="AE18" s="183"/>
      <c r="AF18" s="183"/>
      <c r="AG18" s="183"/>
    </row>
    <row r="19" spans="2:33" x14ac:dyDescent="0.25">
      <c r="B19" s="189" t="s">
        <v>490</v>
      </c>
      <c r="C19" s="183">
        <f>IF(C5&lt;=IN!$C$47,IN!$C$28,0)</f>
        <v>7234.9199999999992</v>
      </c>
      <c r="D19" s="183">
        <f t="shared" si="8"/>
        <v>7307.2691999999988</v>
      </c>
      <c r="E19" s="183">
        <f t="shared" si="8"/>
        <v>7380.3418919999986</v>
      </c>
      <c r="F19" s="183">
        <f t="shared" si="8"/>
        <v>7454.1453109199983</v>
      </c>
      <c r="G19" s="183">
        <f t="shared" si="8"/>
        <v>7528.6867640291985</v>
      </c>
      <c r="H19" s="183">
        <f t="shared" si="8"/>
        <v>7603.9736316694907</v>
      </c>
      <c r="I19" s="183">
        <f t="shared" si="8"/>
        <v>7680.0133679861856</v>
      </c>
      <c r="J19" s="183">
        <f t="shared" si="8"/>
        <v>7756.8135016660472</v>
      </c>
      <c r="K19" s="183">
        <f t="shared" si="8"/>
        <v>7834.3816366827077</v>
      </c>
      <c r="L19" s="183">
        <f t="shared" si="8"/>
        <v>7912.7254530495347</v>
      </c>
      <c r="M19" s="183">
        <f t="shared" si="8"/>
        <v>7991.8527075800303</v>
      </c>
      <c r="N19" s="183">
        <f t="shared" si="8"/>
        <v>8071.771234655831</v>
      </c>
      <c r="O19" s="183">
        <f t="shared" si="8"/>
        <v>8152.4889470023891</v>
      </c>
      <c r="P19" s="183">
        <f t="shared" si="8"/>
        <v>8234.0138364724135</v>
      </c>
      <c r="Q19" s="183">
        <f t="shared" si="8"/>
        <v>8316.3539748371368</v>
      </c>
      <c r="R19" s="183">
        <f t="shared" si="8"/>
        <v>8399.5175145855083</v>
      </c>
      <c r="S19" s="183">
        <f t="shared" si="8"/>
        <v>8483.5126897313639</v>
      </c>
      <c r="T19" s="183">
        <f t="shared" si="7"/>
        <v>8568.3478166286768</v>
      </c>
      <c r="U19" s="183">
        <f t="shared" si="7"/>
        <v>8654.0312947949642</v>
      </c>
      <c r="V19" s="183">
        <f t="shared" si="7"/>
        <v>8740.5716077429133</v>
      </c>
      <c r="W19" s="183">
        <f t="shared" si="7"/>
        <v>8827.9773238203416</v>
      </c>
      <c r="X19" s="183">
        <f t="shared" si="7"/>
        <v>8916.2570970585457</v>
      </c>
      <c r="Y19" s="183">
        <f t="shared" si="7"/>
        <v>9005.4196680291316</v>
      </c>
      <c r="Z19" s="183"/>
      <c r="AA19" s="183"/>
      <c r="AB19" s="183"/>
      <c r="AC19" s="183"/>
      <c r="AD19" s="183"/>
      <c r="AE19" s="183"/>
      <c r="AF19" s="183"/>
      <c r="AG19" s="183"/>
    </row>
    <row r="20" spans="2:33" x14ac:dyDescent="0.25">
      <c r="B20" s="189" t="s">
        <v>491</v>
      </c>
      <c r="C20" s="183">
        <f>IF(C5&lt;=IN!$C$47,IN!$C$29,0)</f>
        <v>5751.45</v>
      </c>
      <c r="D20" s="183">
        <f t="shared" si="8"/>
        <v>5808.9645</v>
      </c>
      <c r="E20" s="183">
        <f t="shared" si="8"/>
        <v>5867.0541450000001</v>
      </c>
      <c r="F20" s="183">
        <f t="shared" si="8"/>
        <v>5925.7246864500003</v>
      </c>
      <c r="G20" s="183">
        <f t="shared" si="8"/>
        <v>5984.9819333145006</v>
      </c>
      <c r="H20" s="183">
        <f t="shared" si="8"/>
        <v>6044.8317526476458</v>
      </c>
      <c r="I20" s="183">
        <f t="shared" si="8"/>
        <v>6105.2800701741226</v>
      </c>
      <c r="J20" s="183">
        <f t="shared" si="8"/>
        <v>6166.3328708758636</v>
      </c>
      <c r="K20" s="183">
        <f t="shared" si="8"/>
        <v>6227.9961995846224</v>
      </c>
      <c r="L20" s="183">
        <f t="shared" si="8"/>
        <v>6290.2761615804684</v>
      </c>
      <c r="M20" s="183">
        <f t="shared" si="8"/>
        <v>6353.178923196273</v>
      </c>
      <c r="N20" s="183">
        <f t="shared" si="8"/>
        <v>6416.7107124282356</v>
      </c>
      <c r="O20" s="183">
        <f t="shared" si="8"/>
        <v>6480.8778195525183</v>
      </c>
      <c r="P20" s="183">
        <f t="shared" si="8"/>
        <v>6545.6865977480438</v>
      </c>
      <c r="Q20" s="183">
        <f t="shared" si="8"/>
        <v>6611.1434637255243</v>
      </c>
      <c r="R20" s="183">
        <f t="shared" si="8"/>
        <v>6677.2548983627794</v>
      </c>
      <c r="S20" s="183">
        <f t="shared" si="8"/>
        <v>6744.0274473464069</v>
      </c>
      <c r="T20" s="183">
        <f t="shared" si="7"/>
        <v>6811.4677218198713</v>
      </c>
      <c r="U20" s="183">
        <f t="shared" si="7"/>
        <v>6879.5823990380695</v>
      </c>
      <c r="V20" s="183">
        <f t="shared" si="7"/>
        <v>6948.3782230284505</v>
      </c>
      <c r="W20" s="183">
        <f t="shared" si="7"/>
        <v>7017.8620052587348</v>
      </c>
      <c r="X20" s="183">
        <f t="shared" si="7"/>
        <v>7088.0406253113224</v>
      </c>
      <c r="Y20" s="183">
        <f t="shared" si="7"/>
        <v>7158.9210315644359</v>
      </c>
      <c r="Z20" s="183"/>
      <c r="AA20" s="183"/>
      <c r="AB20" s="183"/>
      <c r="AC20" s="183"/>
      <c r="AD20" s="183"/>
      <c r="AE20" s="183"/>
      <c r="AF20" s="183"/>
      <c r="AG20" s="183"/>
    </row>
    <row r="21" spans="2:33" x14ac:dyDescent="0.25">
      <c r="B21" s="189" t="s">
        <v>492</v>
      </c>
      <c r="C21" s="183">
        <f>IF(C5&lt;=IN!$C$47,IN!$C$30,0)</f>
        <v>2496</v>
      </c>
      <c r="D21" s="183">
        <f t="shared" si="8"/>
        <v>2520.96</v>
      </c>
      <c r="E21" s="183">
        <f t="shared" si="8"/>
        <v>2546.1696000000002</v>
      </c>
      <c r="F21" s="183">
        <f t="shared" si="8"/>
        <v>2571.631296</v>
      </c>
      <c r="G21" s="183">
        <f t="shared" si="8"/>
        <v>2597.3476089599999</v>
      </c>
      <c r="H21" s="183">
        <f t="shared" si="8"/>
        <v>2623.3210850495998</v>
      </c>
      <c r="I21" s="183">
        <f t="shared" si="8"/>
        <v>2649.5542959000959</v>
      </c>
      <c r="J21" s="183">
        <f t="shared" si="8"/>
        <v>2676.0498388590968</v>
      </c>
      <c r="K21" s="183">
        <f t="shared" si="8"/>
        <v>2702.8103372476876</v>
      </c>
      <c r="L21" s="183">
        <f t="shared" si="8"/>
        <v>2729.8384406201644</v>
      </c>
      <c r="M21" s="183">
        <f t="shared" si="8"/>
        <v>2757.1368250263658</v>
      </c>
      <c r="N21" s="183">
        <f t="shared" si="8"/>
        <v>2784.7081932766296</v>
      </c>
      <c r="O21" s="183">
        <f t="shared" si="8"/>
        <v>2812.5552752093959</v>
      </c>
      <c r="P21" s="183">
        <f t="shared" si="8"/>
        <v>2840.6808279614897</v>
      </c>
      <c r="Q21" s="183">
        <f t="shared" si="8"/>
        <v>2869.0876362411045</v>
      </c>
      <c r="R21" s="183">
        <f t="shared" si="8"/>
        <v>2897.7785126035155</v>
      </c>
      <c r="S21" s="183">
        <f t="shared" si="8"/>
        <v>2926.7562977295506</v>
      </c>
      <c r="T21" s="183">
        <f t="shared" si="7"/>
        <v>2956.0238607068463</v>
      </c>
      <c r="U21" s="183">
        <f t="shared" si="7"/>
        <v>2985.584099313915</v>
      </c>
      <c r="V21" s="183">
        <f t="shared" si="7"/>
        <v>3015.4399403070543</v>
      </c>
      <c r="W21" s="183">
        <f t="shared" si="7"/>
        <v>3045.5943397101246</v>
      </c>
      <c r="X21" s="183">
        <f t="shared" si="7"/>
        <v>3076.0502831072258</v>
      </c>
      <c r="Y21" s="183">
        <f t="shared" si="7"/>
        <v>3106.8107859382981</v>
      </c>
      <c r="Z21" s="183"/>
      <c r="AA21" s="183"/>
      <c r="AB21" s="183"/>
      <c r="AC21" s="183"/>
      <c r="AD21" s="183"/>
      <c r="AE21" s="183"/>
      <c r="AF21" s="183"/>
      <c r="AG21" s="183"/>
    </row>
    <row r="22" spans="2:33" x14ac:dyDescent="0.25">
      <c r="B22" s="189" t="s">
        <v>493</v>
      </c>
      <c r="C22" s="183">
        <f>IF(C5&lt;=IN!$C$47,IN!$C$31,0)</f>
        <v>3118.5</v>
      </c>
      <c r="D22" s="183">
        <f t="shared" si="8"/>
        <v>3149.6849999999999</v>
      </c>
      <c r="E22" s="183">
        <f t="shared" si="8"/>
        <v>3181.1818499999999</v>
      </c>
      <c r="F22" s="183">
        <f t="shared" si="8"/>
        <v>3212.9936684999998</v>
      </c>
      <c r="G22" s="183">
        <f t="shared" si="8"/>
        <v>3245.1236051849996</v>
      </c>
      <c r="H22" s="183">
        <f t="shared" si="8"/>
        <v>3277.5748412368498</v>
      </c>
      <c r="I22" s="183">
        <f t="shared" si="8"/>
        <v>3310.3505896492184</v>
      </c>
      <c r="J22" s="183">
        <f t="shared" si="8"/>
        <v>3343.4540955457105</v>
      </c>
      <c r="K22" s="183">
        <f t="shared" si="8"/>
        <v>3376.8886365011676</v>
      </c>
      <c r="L22" s="183">
        <f t="shared" si="8"/>
        <v>3410.6575228661795</v>
      </c>
      <c r="M22" s="183">
        <f t="shared" si="8"/>
        <v>3444.7640980948413</v>
      </c>
      <c r="N22" s="183">
        <f t="shared" si="8"/>
        <v>3479.2117390757899</v>
      </c>
      <c r="O22" s="183">
        <f t="shared" si="8"/>
        <v>3514.0038564665479</v>
      </c>
      <c r="P22" s="183">
        <f t="shared" si="8"/>
        <v>3549.1438950312136</v>
      </c>
      <c r="Q22" s="183">
        <f t="shared" si="8"/>
        <v>3584.6353339815255</v>
      </c>
      <c r="R22" s="183">
        <f t="shared" si="8"/>
        <v>3620.4816873213408</v>
      </c>
      <c r="S22" s="183">
        <f t="shared" si="8"/>
        <v>3656.6865041945543</v>
      </c>
      <c r="T22" s="183">
        <f t="shared" si="7"/>
        <v>3693.2533692365</v>
      </c>
      <c r="U22" s="183">
        <f t="shared" si="7"/>
        <v>3730.1859029288648</v>
      </c>
      <c r="V22" s="183">
        <f t="shared" si="7"/>
        <v>3767.4877619581534</v>
      </c>
      <c r="W22" s="183">
        <f t="shared" si="7"/>
        <v>3805.1626395777348</v>
      </c>
      <c r="X22" s="183">
        <f t="shared" si="7"/>
        <v>3843.2142659735123</v>
      </c>
      <c r="Y22" s="183">
        <f t="shared" si="7"/>
        <v>3881.6464086332476</v>
      </c>
      <c r="Z22" s="183"/>
      <c r="AA22" s="183"/>
      <c r="AB22" s="183"/>
      <c r="AC22" s="183"/>
      <c r="AD22" s="183"/>
      <c r="AE22" s="183"/>
      <c r="AF22" s="183"/>
      <c r="AG22" s="183"/>
    </row>
    <row r="23" spans="2:33" x14ac:dyDescent="0.25">
      <c r="B23" s="189" t="s">
        <v>494</v>
      </c>
      <c r="C23" s="183">
        <f>IF(C5&lt;=IN!$C$47,IN!$C$32,0)</f>
        <v>12474</v>
      </c>
      <c r="D23" s="183">
        <f t="shared" si="8"/>
        <v>12598.74</v>
      </c>
      <c r="E23" s="183">
        <f t="shared" si="8"/>
        <v>12724.7274</v>
      </c>
      <c r="F23" s="183">
        <f t="shared" si="8"/>
        <v>12851.974673999999</v>
      </c>
      <c r="G23" s="183">
        <f t="shared" si="8"/>
        <v>12980.494420739999</v>
      </c>
      <c r="H23" s="183">
        <f t="shared" si="8"/>
        <v>13110.299364947399</v>
      </c>
      <c r="I23" s="183">
        <f t="shared" si="8"/>
        <v>13241.402358596873</v>
      </c>
      <c r="J23" s="183">
        <f t="shared" si="8"/>
        <v>13373.816382182842</v>
      </c>
      <c r="K23" s="183">
        <f t="shared" si="8"/>
        <v>13507.554546004671</v>
      </c>
      <c r="L23" s="183">
        <f t="shared" si="8"/>
        <v>13642.630091464718</v>
      </c>
      <c r="M23" s="183">
        <f t="shared" si="8"/>
        <v>13779.056392379365</v>
      </c>
      <c r="N23" s="183">
        <f t="shared" si="8"/>
        <v>13916.846956303159</v>
      </c>
      <c r="O23" s="183">
        <f t="shared" si="8"/>
        <v>14056.015425866191</v>
      </c>
      <c r="P23" s="183">
        <f t="shared" si="8"/>
        <v>14196.575580124854</v>
      </c>
      <c r="Q23" s="183">
        <f t="shared" si="8"/>
        <v>14338.541335926102</v>
      </c>
      <c r="R23" s="183">
        <f t="shared" si="8"/>
        <v>14481.926749285363</v>
      </c>
      <c r="S23" s="183">
        <f t="shared" si="8"/>
        <v>14626.746016778217</v>
      </c>
      <c r="T23" s="183">
        <f t="shared" si="7"/>
        <v>14773.013476946</v>
      </c>
      <c r="U23" s="183">
        <f t="shared" si="7"/>
        <v>14920.743611715459</v>
      </c>
      <c r="V23" s="183">
        <f t="shared" si="7"/>
        <v>15069.951047832614</v>
      </c>
      <c r="W23" s="183">
        <f t="shared" si="7"/>
        <v>15220.650558310939</v>
      </c>
      <c r="X23" s="183">
        <f t="shared" si="7"/>
        <v>15372.857063894049</v>
      </c>
      <c r="Y23" s="183">
        <f t="shared" si="7"/>
        <v>15526.58563453299</v>
      </c>
      <c r="Z23" s="183"/>
      <c r="AA23" s="183"/>
      <c r="AB23" s="183"/>
      <c r="AC23" s="183"/>
      <c r="AD23" s="183"/>
      <c r="AE23" s="183"/>
      <c r="AF23" s="183"/>
      <c r="AG23" s="183"/>
    </row>
    <row r="24" spans="2:33" x14ac:dyDescent="0.25">
      <c r="B24" s="189" t="s">
        <v>495</v>
      </c>
      <c r="C24" s="183">
        <f>IF(C5&lt;=IN!$C$47,IN!$C$34,0)</f>
        <v>3118.5</v>
      </c>
      <c r="D24" s="183">
        <f t="shared" si="8"/>
        <v>3149.6849999999999</v>
      </c>
      <c r="E24" s="183">
        <f t="shared" si="8"/>
        <v>3181.1818499999999</v>
      </c>
      <c r="F24" s="183">
        <f t="shared" si="8"/>
        <v>3212.9936684999998</v>
      </c>
      <c r="G24" s="183">
        <f t="shared" si="8"/>
        <v>3245.1236051849996</v>
      </c>
      <c r="H24" s="183">
        <f t="shared" si="8"/>
        <v>3277.5748412368498</v>
      </c>
      <c r="I24" s="183">
        <f t="shared" si="8"/>
        <v>3310.3505896492184</v>
      </c>
      <c r="J24" s="183">
        <f t="shared" si="8"/>
        <v>3343.4540955457105</v>
      </c>
      <c r="K24" s="183">
        <f t="shared" si="8"/>
        <v>3376.8886365011676</v>
      </c>
      <c r="L24" s="183">
        <f t="shared" si="8"/>
        <v>3410.6575228661795</v>
      </c>
      <c r="M24" s="183">
        <f t="shared" si="8"/>
        <v>3444.7640980948413</v>
      </c>
      <c r="N24" s="183">
        <f t="shared" si="8"/>
        <v>3479.2117390757899</v>
      </c>
      <c r="O24" s="183">
        <f t="shared" si="8"/>
        <v>3514.0038564665479</v>
      </c>
      <c r="P24" s="183">
        <f t="shared" si="8"/>
        <v>3549.1438950312136</v>
      </c>
      <c r="Q24" s="183">
        <f t="shared" si="8"/>
        <v>3584.6353339815255</v>
      </c>
      <c r="R24" s="183">
        <f t="shared" si="8"/>
        <v>3620.4816873213408</v>
      </c>
      <c r="S24" s="183">
        <f t="shared" si="8"/>
        <v>3656.6865041945543</v>
      </c>
      <c r="T24" s="183">
        <f t="shared" si="7"/>
        <v>3693.2533692365</v>
      </c>
      <c r="U24" s="183">
        <f t="shared" si="7"/>
        <v>3730.1859029288648</v>
      </c>
      <c r="V24" s="183">
        <f t="shared" si="7"/>
        <v>3767.4877619581534</v>
      </c>
      <c r="W24" s="183">
        <f t="shared" si="7"/>
        <v>3805.1626395777348</v>
      </c>
      <c r="X24" s="183">
        <f t="shared" si="7"/>
        <v>3843.2142659735123</v>
      </c>
      <c r="Y24" s="183">
        <f t="shared" si="7"/>
        <v>3881.6464086332476</v>
      </c>
      <c r="Z24" s="183"/>
      <c r="AA24" s="183"/>
      <c r="AB24" s="183"/>
      <c r="AC24" s="183"/>
      <c r="AD24" s="183"/>
      <c r="AE24" s="183"/>
      <c r="AF24" s="183"/>
      <c r="AG24" s="183"/>
    </row>
    <row r="25" spans="2:33" x14ac:dyDescent="0.25">
      <c r="B25" s="189" t="s">
        <v>545</v>
      </c>
      <c r="C25" s="183"/>
      <c r="D25" s="183">
        <f t="shared" si="8"/>
        <v>0</v>
      </c>
      <c r="E25" s="183">
        <f t="shared" si="8"/>
        <v>0</v>
      </c>
      <c r="F25" s="183">
        <f t="shared" si="8"/>
        <v>0</v>
      </c>
      <c r="G25" s="183">
        <f t="shared" si="8"/>
        <v>0</v>
      </c>
      <c r="H25" s="183">
        <f t="shared" si="8"/>
        <v>0</v>
      </c>
      <c r="I25" s="183">
        <f t="shared" si="8"/>
        <v>0</v>
      </c>
      <c r="J25" s="183">
        <f t="shared" si="8"/>
        <v>0</v>
      </c>
      <c r="K25" s="183">
        <f t="shared" si="8"/>
        <v>0</v>
      </c>
      <c r="L25" s="183">
        <f t="shared" si="8"/>
        <v>0</v>
      </c>
      <c r="M25" s="183">
        <f t="shared" si="8"/>
        <v>0</v>
      </c>
      <c r="N25" s="183">
        <f t="shared" si="8"/>
        <v>0</v>
      </c>
      <c r="O25" s="183">
        <f t="shared" si="8"/>
        <v>0</v>
      </c>
      <c r="P25" s="183">
        <f t="shared" si="8"/>
        <v>0</v>
      </c>
      <c r="Q25" s="183">
        <f t="shared" si="8"/>
        <v>0</v>
      </c>
      <c r="R25" s="183">
        <f t="shared" si="8"/>
        <v>0</v>
      </c>
      <c r="S25" s="183">
        <f t="shared" si="8"/>
        <v>0</v>
      </c>
      <c r="T25" s="183">
        <f t="shared" si="7"/>
        <v>0</v>
      </c>
      <c r="U25" s="183">
        <f t="shared" si="7"/>
        <v>0</v>
      </c>
      <c r="V25" s="183">
        <f t="shared" si="7"/>
        <v>0</v>
      </c>
      <c r="W25" s="183">
        <f t="shared" si="7"/>
        <v>0</v>
      </c>
      <c r="X25" s="183">
        <f t="shared" si="7"/>
        <v>0</v>
      </c>
      <c r="Y25" s="183">
        <f t="shared" si="7"/>
        <v>0</v>
      </c>
      <c r="Z25" s="183"/>
      <c r="AA25" s="183"/>
      <c r="AB25" s="183"/>
      <c r="AC25" s="183"/>
      <c r="AD25" s="183"/>
      <c r="AE25" s="183"/>
      <c r="AF25" s="183"/>
      <c r="AG25" s="183"/>
    </row>
    <row r="26" spans="2:33" x14ac:dyDescent="0.25">
      <c r="B26" s="189" t="s">
        <v>548</v>
      </c>
      <c r="C26" s="183"/>
      <c r="D26" s="183"/>
      <c r="E26" s="183"/>
      <c r="F26" s="183"/>
      <c r="G26" s="183"/>
      <c r="H26" s="183"/>
      <c r="I26" s="183"/>
      <c r="J26" s="183">
        <v>30000</v>
      </c>
      <c r="K26" s="183"/>
      <c r="L26" s="183"/>
      <c r="M26" s="183"/>
      <c r="N26" s="183"/>
      <c r="O26" s="183"/>
      <c r="P26" s="183">
        <v>30000</v>
      </c>
      <c r="Q26" s="183"/>
      <c r="R26" s="183"/>
      <c r="S26" s="183"/>
      <c r="T26" s="183"/>
      <c r="U26" s="183"/>
      <c r="V26" s="183"/>
      <c r="W26" s="183"/>
      <c r="X26" s="183"/>
      <c r="Y26" s="183"/>
      <c r="Z26" s="183"/>
      <c r="AA26" s="183"/>
      <c r="AB26" s="183"/>
      <c r="AC26" s="183"/>
      <c r="AD26" s="183"/>
      <c r="AE26" s="183"/>
      <c r="AF26" s="183"/>
      <c r="AG26" s="183"/>
    </row>
    <row r="27" spans="2:33" x14ac:dyDescent="0.25">
      <c r="B27" s="189" t="s">
        <v>503</v>
      </c>
      <c r="C27" s="183">
        <f>IF(C5&lt;=IN!$C$47,IN!$C$33,0)</f>
        <v>48000</v>
      </c>
      <c r="D27" s="183">
        <f t="shared" si="8"/>
        <v>48480</v>
      </c>
      <c r="E27" s="183">
        <f t="shared" si="8"/>
        <v>48964.800000000003</v>
      </c>
      <c r="F27" s="183">
        <f t="shared" si="8"/>
        <v>49454.448000000004</v>
      </c>
      <c r="G27" s="183">
        <f t="shared" si="8"/>
        <v>49948.992480000001</v>
      </c>
      <c r="H27" s="183">
        <f t="shared" si="8"/>
        <v>50448.482404800001</v>
      </c>
      <c r="I27" s="183">
        <f t="shared" si="8"/>
        <v>50952.967228848</v>
      </c>
      <c r="J27" s="183">
        <f t="shared" si="8"/>
        <v>51462.496901136481</v>
      </c>
      <c r="K27" s="183">
        <f t="shared" si="8"/>
        <v>51977.121870147843</v>
      </c>
      <c r="L27" s="183">
        <f t="shared" si="8"/>
        <v>52496.89308884932</v>
      </c>
      <c r="M27" s="183">
        <f t="shared" si="8"/>
        <v>53021.862019737811</v>
      </c>
      <c r="N27" s="183">
        <f t="shared" si="8"/>
        <v>53552.080639935186</v>
      </c>
      <c r="O27" s="183">
        <f t="shared" si="8"/>
        <v>54087.601446334535</v>
      </c>
      <c r="P27" s="183">
        <f t="shared" si="8"/>
        <v>54628.477460797883</v>
      </c>
      <c r="Q27" s="183">
        <f t="shared" si="8"/>
        <v>55174.762235405862</v>
      </c>
      <c r="R27" s="183">
        <f t="shared" si="8"/>
        <v>55726.50985775992</v>
      </c>
      <c r="S27" s="183">
        <f t="shared" si="8"/>
        <v>56283.774956337518</v>
      </c>
      <c r="T27" s="183">
        <f t="shared" si="7"/>
        <v>56846.612705900894</v>
      </c>
      <c r="U27" s="183">
        <f t="shared" si="7"/>
        <v>57415.078832959902</v>
      </c>
      <c r="V27" s="183">
        <f t="shared" si="7"/>
        <v>57989.229621289502</v>
      </c>
      <c r="W27" s="183">
        <f t="shared" si="7"/>
        <v>58569.121917502394</v>
      </c>
      <c r="X27" s="183">
        <f t="shared" si="7"/>
        <v>59154.813136677418</v>
      </c>
      <c r="Y27" s="183">
        <f t="shared" si="7"/>
        <v>59746.361268044195</v>
      </c>
      <c r="Z27" s="183"/>
      <c r="AA27" s="183"/>
      <c r="AB27" s="183"/>
      <c r="AC27" s="183"/>
      <c r="AD27" s="183"/>
      <c r="AE27" s="183"/>
      <c r="AF27" s="183"/>
      <c r="AG27" s="183"/>
    </row>
    <row r="28" spans="2:33" x14ac:dyDescent="0.25">
      <c r="B28" s="190" t="s">
        <v>496</v>
      </c>
      <c r="C28" s="183">
        <f>IF(C5&lt;=IN!$C$47,IN!$C$39,0)</f>
        <v>5000</v>
      </c>
      <c r="D28" s="183">
        <f>C28+(C28*1%)</f>
        <v>5050</v>
      </c>
      <c r="E28" s="183">
        <f t="shared" si="8"/>
        <v>5100.5</v>
      </c>
      <c r="F28" s="183">
        <f t="shared" si="8"/>
        <v>5151.5050000000001</v>
      </c>
      <c r="G28" s="183">
        <f t="shared" si="8"/>
        <v>5203.0200500000001</v>
      </c>
      <c r="H28" s="183">
        <f t="shared" si="8"/>
        <v>5255.0502505000004</v>
      </c>
      <c r="I28" s="183">
        <f t="shared" si="8"/>
        <v>5307.6007530050001</v>
      </c>
      <c r="J28" s="183">
        <f t="shared" si="8"/>
        <v>5360.6767605350506</v>
      </c>
      <c r="K28" s="183">
        <f t="shared" si="8"/>
        <v>5414.2835281404014</v>
      </c>
      <c r="L28" s="183">
        <f t="shared" si="8"/>
        <v>5468.426363421805</v>
      </c>
      <c r="M28" s="183">
        <f t="shared" si="8"/>
        <v>5523.1106270560231</v>
      </c>
      <c r="N28" s="183">
        <f t="shared" si="8"/>
        <v>5578.3417333265834</v>
      </c>
      <c r="O28" s="183">
        <f t="shared" si="8"/>
        <v>5634.1251506598492</v>
      </c>
      <c r="P28" s="183">
        <f t="shared" si="8"/>
        <v>5690.4664021664476</v>
      </c>
      <c r="Q28" s="183">
        <f t="shared" si="8"/>
        <v>5747.3710661881123</v>
      </c>
      <c r="R28" s="183">
        <f t="shared" si="8"/>
        <v>5804.8447768499937</v>
      </c>
      <c r="S28" s="183">
        <f t="shared" si="8"/>
        <v>5862.8932246184932</v>
      </c>
      <c r="T28" s="183">
        <f t="shared" si="7"/>
        <v>5921.5221568646784</v>
      </c>
      <c r="U28" s="183">
        <f t="shared" si="7"/>
        <v>5980.7373784333249</v>
      </c>
      <c r="V28" s="183">
        <f t="shared" si="7"/>
        <v>6040.5447522176582</v>
      </c>
      <c r="W28" s="183">
        <f t="shared" si="7"/>
        <v>6100.9501997398347</v>
      </c>
      <c r="X28" s="183">
        <f t="shared" si="7"/>
        <v>6161.9597017372334</v>
      </c>
      <c r="Y28" s="183">
        <f t="shared" si="7"/>
        <v>6223.5792987546056</v>
      </c>
      <c r="Z28" s="183">
        <f>IF(Z5&lt;=IN!$C$47,IN!#REF!*IN!$C$15,0)</f>
        <v>0</v>
      </c>
      <c r="AA28" s="183">
        <f>IF(AA5&lt;=IN!$C$47,IN!#REF!*IN!$C$15,0)</f>
        <v>0</v>
      </c>
      <c r="AB28" s="183">
        <f>IF(AB5&lt;=IN!$C$47,IN!#REF!*IN!$C$15,0)</f>
        <v>0</v>
      </c>
      <c r="AC28" s="183">
        <f>IF(AC5&lt;=IN!$C$47,IN!#REF!*IN!$C$15,0)</f>
        <v>0</v>
      </c>
      <c r="AD28" s="183">
        <f>IF(AD5&lt;=IN!$C$47,IN!#REF!*IN!$C$15,0)</f>
        <v>0</v>
      </c>
      <c r="AE28" s="183">
        <f>IF(AE5&lt;=IN!$C$47,IN!#REF!*IN!$C$15,0)</f>
        <v>0</v>
      </c>
      <c r="AF28" s="183">
        <f>IF(AF5&lt;=IN!$C$47,IN!#REF!*IN!$C$15,0)</f>
        <v>0</v>
      </c>
      <c r="AG28" s="183"/>
    </row>
    <row r="29" spans="2:33" s="428" customFormat="1" x14ac:dyDescent="0.25">
      <c r="B29" s="429" t="s">
        <v>214</v>
      </c>
      <c r="C29" s="431">
        <f t="shared" ref="C29:AF29" si="9">SUM(C16:C28)</f>
        <v>604164.49999999988</v>
      </c>
      <c r="D29" s="431">
        <f t="shared" si="9"/>
        <v>345534.37747000001</v>
      </c>
      <c r="E29" s="431">
        <f t="shared" si="9"/>
        <v>350853.49111189996</v>
      </c>
      <c r="F29" s="431">
        <f t="shared" si="9"/>
        <v>356263.07128756295</v>
      </c>
      <c r="G29" s="431">
        <f t="shared" si="9"/>
        <v>361764.76817027357</v>
      </c>
      <c r="H29" s="431">
        <f t="shared" si="9"/>
        <v>367360.26334520784</v>
      </c>
      <c r="I29" s="431">
        <f t="shared" si="9"/>
        <v>373051.27042175614</v>
      </c>
      <c r="J29" s="431">
        <f t="shared" si="9"/>
        <v>408839.5356579317</v>
      </c>
      <c r="K29" s="431">
        <f t="shared" si="9"/>
        <v>384726.83859710838</v>
      </c>
      <c r="L29" s="431">
        <f t="shared" si="9"/>
        <v>390714.99271732866</v>
      </c>
      <c r="M29" s="431">
        <f t="shared" si="9"/>
        <v>396805.84609343624</v>
      </c>
      <c r="N29" s="431">
        <f t="shared" si="9"/>
        <v>403001.2820722835</v>
      </c>
      <c r="O29" s="431">
        <f t="shared" si="9"/>
        <v>409303.21996127756</v>
      </c>
      <c r="P29" s="431">
        <f t="shared" si="9"/>
        <v>445713.6157305268</v>
      </c>
      <c r="Q29" s="431">
        <f t="shared" si="9"/>
        <v>422234.46272886149</v>
      </c>
      <c r="R29" s="431">
        <f t="shared" si="9"/>
        <v>428867.79241400008</v>
      </c>
      <c r="S29" s="431">
        <f t="shared" si="9"/>
        <v>435615.67509714706</v>
      </c>
      <c r="T29" s="431">
        <f t="shared" si="9"/>
        <v>442480.22070230549</v>
      </c>
      <c r="U29" s="431">
        <f t="shared" si="9"/>
        <v>449463.57954059949</v>
      </c>
      <c r="V29" s="431">
        <f t="shared" si="9"/>
        <v>456567.9430999016</v>
      </c>
      <c r="W29" s="431">
        <f t="shared" si="9"/>
        <v>463795.54485007474</v>
      </c>
      <c r="X29" s="431">
        <f t="shared" si="9"/>
        <v>471148.66106413311</v>
      </c>
      <c r="Y29" s="431">
        <f t="shared" si="9"/>
        <v>478629.61165564321</v>
      </c>
      <c r="Z29" s="431">
        <f t="shared" si="9"/>
        <v>0</v>
      </c>
      <c r="AA29" s="431">
        <f t="shared" si="9"/>
        <v>0</v>
      </c>
      <c r="AB29" s="431">
        <f t="shared" si="9"/>
        <v>0</v>
      </c>
      <c r="AC29" s="431">
        <f t="shared" si="9"/>
        <v>0</v>
      </c>
      <c r="AD29" s="431">
        <f t="shared" si="9"/>
        <v>0</v>
      </c>
      <c r="AE29" s="431">
        <f t="shared" si="9"/>
        <v>0</v>
      </c>
      <c r="AF29" s="431">
        <f t="shared" si="9"/>
        <v>0</v>
      </c>
      <c r="AG29" s="431"/>
    </row>
    <row r="30" spans="2:33" x14ac:dyDescent="0.25">
      <c r="B30" s="195" t="s">
        <v>215</v>
      </c>
      <c r="C30" s="385">
        <f t="shared" ref="C30:AF30" si="10">C15-C29</f>
        <v>209883.59892331541</v>
      </c>
      <c r="D30" s="385">
        <f t="shared" si="10"/>
        <v>474853.24417651532</v>
      </c>
      <c r="E30" s="385">
        <f t="shared" si="10"/>
        <v>475973.7554122794</v>
      </c>
      <c r="F30" s="385">
        <f t="shared" si="10"/>
        <v>477105.63742883375</v>
      </c>
      <c r="G30" s="385">
        <f t="shared" si="10"/>
        <v>478249.00724735466</v>
      </c>
      <c r="H30" s="385">
        <f t="shared" si="10"/>
        <v>479403.98312549834</v>
      </c>
      <c r="I30" s="385">
        <f t="shared" si="10"/>
        <v>480570.68457108951</v>
      </c>
      <c r="J30" s="385">
        <f t="shared" si="10"/>
        <v>451749.23235597613</v>
      </c>
      <c r="K30" s="385">
        <f t="shared" si="10"/>
        <v>482939.74853004748</v>
      </c>
      <c r="L30" s="385">
        <f t="shared" si="10"/>
        <v>484142.35643542261</v>
      </c>
      <c r="M30" s="385">
        <f t="shared" si="10"/>
        <v>485357.18072080554</v>
      </c>
      <c r="N30" s="385">
        <f t="shared" si="10"/>
        <v>486584.34735601564</v>
      </c>
      <c r="O30" s="385">
        <f t="shared" si="10"/>
        <v>487823.9836466905</v>
      </c>
      <c r="P30" s="385">
        <f t="shared" si="10"/>
        <v>459076.21824916714</v>
      </c>
      <c r="Q30" s="385">
        <f t="shared" si="10"/>
        <v>490341.18118554144</v>
      </c>
      <c r="R30" s="385">
        <f t="shared" si="10"/>
        <v>491619.00385890942</v>
      </c>
      <c r="S30" s="385">
        <f t="shared" si="10"/>
        <v>492909.81906879431</v>
      </c>
      <c r="T30" s="385">
        <f t="shared" si="10"/>
        <v>494213.76102675678</v>
      </c>
      <c r="U30" s="385">
        <f t="shared" si="10"/>
        <v>495530.96537219652</v>
      </c>
      <c r="V30" s="385">
        <f t="shared" si="10"/>
        <v>496861.56918834726</v>
      </c>
      <c r="W30" s="385">
        <f t="shared" si="10"/>
        <v>498205.71101846051</v>
      </c>
      <c r="X30" s="385">
        <f t="shared" si="10"/>
        <v>499563.53088219225</v>
      </c>
      <c r="Y30" s="385">
        <f t="shared" si="10"/>
        <v>500935.17029218492</v>
      </c>
      <c r="Z30" s="385">
        <f t="shared" si="10"/>
        <v>0</v>
      </c>
      <c r="AA30" s="385">
        <f t="shared" si="10"/>
        <v>0</v>
      </c>
      <c r="AB30" s="385">
        <f t="shared" si="10"/>
        <v>0</v>
      </c>
      <c r="AC30" s="385">
        <f t="shared" si="10"/>
        <v>0</v>
      </c>
      <c r="AD30" s="385">
        <f t="shared" si="10"/>
        <v>0</v>
      </c>
      <c r="AE30" s="385">
        <f t="shared" si="10"/>
        <v>0</v>
      </c>
      <c r="AF30" s="385">
        <f t="shared" si="10"/>
        <v>0</v>
      </c>
      <c r="AG30" s="400"/>
    </row>
    <row r="31" spans="2:33" x14ac:dyDescent="0.25">
      <c r="B31" s="386" t="s">
        <v>216</v>
      </c>
      <c r="C31" s="387">
        <f>IF(C5&lt;=IN!$C$47,'CE CC opz2'!C30/'CE CC opz2'!C15,"")</f>
        <v>0.25782702422733228</v>
      </c>
      <c r="D31" s="387">
        <f>IF(D5&lt;=IN!$C$47,'CE CC opz2'!D30/'CE CC opz2'!D15,"")</f>
        <v>0.57881571058262238</v>
      </c>
      <c r="E31" s="387">
        <f>IF(E5&lt;=IN!$C$47,'CE CC opz2'!E30/'CE CC opz2'!E15,"")</f>
        <v>0.57566288171220814</v>
      </c>
      <c r="F31" s="387">
        <f>IF(F5&lt;=IN!$C$47,'CE CC opz2'!F30/'CE CC opz2'!F15,"")</f>
        <v>0.57250246192192622</v>
      </c>
      <c r="G31" s="387">
        <f>IF(G5&lt;=IN!$C$47,'CE CC opz2'!G30/'CE CC opz2'!G15,"")</f>
        <v>0.56933471955216974</v>
      </c>
      <c r="H31" s="387">
        <f>IF(H5&lt;=IN!$C$47,'CE CC opz2'!H30/'CE CC opz2'!H15,"")</f>
        <v>0.56615992600495724</v>
      </c>
      <c r="I31" s="387">
        <f>IF(I5&lt;=IN!$C$47,'CE CC opz2'!I30/'CE CC opz2'!I15,"")</f>
        <v>0.56297835565290399</v>
      </c>
      <c r="J31" s="387">
        <f>IF(J5&lt;=IN!$C$47,'CE CC opz2'!J30/'CE CC opz2'!J15,"")</f>
        <v>0.52493043035936471</v>
      </c>
      <c r="K31" s="387">
        <f>IF(K5&lt;=IN!$C$47,'CE CC opz2'!K30/'CE CC opz2'!K15,"")</f>
        <v>0.55659599631358514</v>
      </c>
      <c r="L31" s="387">
        <f>IF(L5&lt;=IN!$C$47,'CE CC opz2'!L30/'CE CC opz2'!L15,"")</f>
        <v>0.55339577006958507</v>
      </c>
      <c r="M31" s="387">
        <f>IF(M5&lt;=IN!$C$47,'CE CC opz2'!M30/'CE CC opz2'!M15,"")</f>
        <v>0.55018989230774895</v>
      </c>
      <c r="N31" s="387">
        <f>IF(N5&lt;=IN!$C$47,'CE CC opz2'!N30/'CE CC opz2'!N15,"")</f>
        <v>0.54697865080028751</v>
      </c>
      <c r="O31" s="387">
        <f>IF(O5&lt;=IN!$C$47,'CE CC opz2'!O30/'CE CC opz2'!O15,"")</f>
        <v>0.54376233569198806</v>
      </c>
      <c r="P31" s="387">
        <f>IF(P5&lt;=IN!$C$47,'CE CC opz2'!P30/'CE CC opz2'!P15,"")</f>
        <v>0.50738436817966071</v>
      </c>
      <c r="Q31" s="387">
        <f>IF(Q5&lt;=IN!$C$47,'CE CC opz2'!Q30/'CE CC opz2'!Q15,"")</f>
        <v>0.53731565646686719</v>
      </c>
      <c r="R31" s="387">
        <f>IF(R5&lt;=IN!$C$47,'CE CC opz2'!R30/'CE CC opz2'!R15,"")</f>
        <v>0.53408588352325725</v>
      </c>
      <c r="S31" s="387">
        <f>IF(S5&lt;=IN!$C$47,'CE CC opz2'!S30/'CE CC opz2'!S15,"")</f>
        <v>0.53085221909987101</v>
      </c>
      <c r="T31" s="387">
        <f>IF(T5&lt;=IN!$C$47,'CE CC opz2'!T30/'CE CC opz2'!T15,"")</f>
        <v>0.5276149635492241</v>
      </c>
      <c r="U31" s="387">
        <f>IF(U5&lt;=IN!$C$47,'CE CC opz2'!U30/'CE CC opz2'!U15,"")</f>
        <v>0.52437441892103631</v>
      </c>
      <c r="V31" s="387">
        <f>IF(V5&lt;=IN!$C$47,'CE CC opz2'!V30/'CE CC opz2'!V15,"")</f>
        <v>0.52113088884344483</v>
      </c>
      <c r="W31" s="387">
        <f>IF(W5&lt;=IN!$C$47,'CE CC opz2'!W30/'CE CC opz2'!W15,"")</f>
        <v>0.51788467840269026</v>
      </c>
      <c r="X31" s="387">
        <f>IF(X5&lt;=IN!$C$47,'CE CC opz2'!X30/'CE CC opz2'!X15,"")</f>
        <v>0.51463609402138344</v>
      </c>
      <c r="Y31" s="387">
        <f>IF(Y5&lt;=IN!$C$47,'CE CC opz2'!Y30/'CE CC opz2'!Y15,"")</f>
        <v>0.51138544333545144</v>
      </c>
      <c r="Z31" s="387" t="str">
        <f>IF(Z5&lt;=IN!$C$47,'CE CC opz2'!Z30/'CE CC opz2'!Z15,"")</f>
        <v/>
      </c>
      <c r="AA31" s="387" t="str">
        <f>IF(AA5&lt;=IN!$C$47,'CE CC opz2'!AA30/'CE CC opz2'!AA15,"")</f>
        <v/>
      </c>
      <c r="AB31" s="387" t="str">
        <f>IF(AB5&lt;=IN!$C$47,'CE CC opz2'!AB30/'CE CC opz2'!AB15,"")</f>
        <v/>
      </c>
      <c r="AC31" s="387" t="str">
        <f>IF(AC5&lt;=IN!$C$47,'CE CC opz2'!AC30/'CE CC opz2'!AC15,"")</f>
        <v/>
      </c>
      <c r="AD31" s="387" t="str">
        <f>IF(AD5&lt;=IN!$C$47,'CE CC opz2'!AD30/'CE CC opz2'!AD15,"")</f>
        <v/>
      </c>
      <c r="AE31" s="387" t="str">
        <f>IF(AE5&lt;=IN!$C$47,'CE CC opz2'!AE30/'CE CC opz2'!AE15,"")</f>
        <v/>
      </c>
      <c r="AF31" s="387" t="str">
        <f>IF(AF5&lt;=IN!$C$47,'CE CC opz2'!AF30/'CE CC opz2'!AF15,"")</f>
        <v/>
      </c>
      <c r="AG31" s="387"/>
    </row>
    <row r="32" spans="2:33" x14ac:dyDescent="0.25">
      <c r="B32" s="190" t="s">
        <v>217</v>
      </c>
      <c r="C32" s="183">
        <f>C34*C33</f>
        <v>1873.2379999999998</v>
      </c>
      <c r="D32" s="183">
        <f>D34*D33</f>
        <v>1891.97038</v>
      </c>
      <c r="E32" s="183">
        <f t="shared" ref="E32:AE32" si="11">E34*E33</f>
        <v>1910.8900838000002</v>
      </c>
      <c r="F32" s="183">
        <f t="shared" si="11"/>
        <v>1929.9989846380004</v>
      </c>
      <c r="G32" s="183">
        <f t="shared" si="11"/>
        <v>1949.2989744843801</v>
      </c>
      <c r="H32" s="183">
        <f t="shared" si="11"/>
        <v>1968.791964229224</v>
      </c>
      <c r="I32" s="183">
        <f t="shared" si="11"/>
        <v>1988.4798838715162</v>
      </c>
      <c r="J32" s="183">
        <f t="shared" si="11"/>
        <v>2008.3646827102314</v>
      </c>
      <c r="K32" s="183">
        <f t="shared" si="11"/>
        <v>2028.4483295373336</v>
      </c>
      <c r="L32" s="183">
        <f t="shared" si="11"/>
        <v>2048.7328128327067</v>
      </c>
      <c r="M32" s="183">
        <f t="shared" si="11"/>
        <v>2069.2201409610343</v>
      </c>
      <c r="N32" s="183">
        <f t="shared" si="11"/>
        <v>2089.9123423706442</v>
      </c>
      <c r="O32" s="183">
        <f t="shared" si="11"/>
        <v>2110.8114657943506</v>
      </c>
      <c r="P32" s="183">
        <f t="shared" si="11"/>
        <v>2131.9195804522942</v>
      </c>
      <c r="Q32" s="183">
        <f t="shared" si="11"/>
        <v>2153.2387762568169</v>
      </c>
      <c r="R32" s="183">
        <f t="shared" si="11"/>
        <v>2174.7711640193852</v>
      </c>
      <c r="S32" s="183">
        <f t="shared" si="11"/>
        <v>2196.518875659579</v>
      </c>
      <c r="T32" s="183">
        <f t="shared" si="11"/>
        <v>2218.484064416175</v>
      </c>
      <c r="U32" s="183">
        <f t="shared" si="11"/>
        <v>2240.6689050603368</v>
      </c>
      <c r="V32" s="183">
        <f t="shared" si="11"/>
        <v>2263.0755941109401</v>
      </c>
      <c r="W32" s="183">
        <f>W34*W33</f>
        <v>1873.2379999999998</v>
      </c>
      <c r="X32" s="183">
        <f t="shared" si="11"/>
        <v>1873.2379999999998</v>
      </c>
      <c r="Y32" s="183">
        <f t="shared" si="11"/>
        <v>1873.2379999999998</v>
      </c>
      <c r="Z32" s="183">
        <f t="shared" si="11"/>
        <v>0</v>
      </c>
      <c r="AA32" s="183">
        <f t="shared" si="11"/>
        <v>0</v>
      </c>
      <c r="AB32" s="183">
        <f t="shared" si="11"/>
        <v>0</v>
      </c>
      <c r="AC32" s="183">
        <f t="shared" si="11"/>
        <v>0</v>
      </c>
      <c r="AD32" s="183">
        <f t="shared" si="11"/>
        <v>0</v>
      </c>
      <c r="AE32" s="183">
        <f t="shared" si="11"/>
        <v>0</v>
      </c>
      <c r="AF32" s="183">
        <f>AF34*AF33</f>
        <v>0</v>
      </c>
      <c r="AG32" s="183"/>
    </row>
    <row r="33" spans="2:33" x14ac:dyDescent="0.25">
      <c r="B33" s="392" t="s">
        <v>38</v>
      </c>
      <c r="C33" s="230">
        <f>IF(C5&lt;=IN!$C$47,IN!$C$36,0)</f>
        <v>0.04</v>
      </c>
      <c r="D33" s="230">
        <f>IF(D5&lt;=IN!$C$47,IN!$C$36,0)</f>
        <v>0.04</v>
      </c>
      <c r="E33" s="230">
        <f>IF(E5&lt;=IN!$C$47,IN!$C$36,0)</f>
        <v>0.04</v>
      </c>
      <c r="F33" s="230">
        <f>IF(F5&lt;=IN!$C$47,IN!$C$36,0)</f>
        <v>0.04</v>
      </c>
      <c r="G33" s="230">
        <f>IF(G5&lt;=IN!$C$47,IN!$C$36,0)</f>
        <v>0.04</v>
      </c>
      <c r="H33" s="230">
        <f>IF(H5&lt;=IN!$C$47,IN!$C$36,0)</f>
        <v>0.04</v>
      </c>
      <c r="I33" s="230">
        <f>IF(I5&lt;=IN!$C$47,IN!$C$36,0)</f>
        <v>0.04</v>
      </c>
      <c r="J33" s="230">
        <f>IF(J5&lt;=IN!$C$47,IN!$C$36,0)</f>
        <v>0.04</v>
      </c>
      <c r="K33" s="230">
        <f>IF(K5&lt;=IN!$C$47,IN!$C$36,0)</f>
        <v>0.04</v>
      </c>
      <c r="L33" s="230">
        <f>IF(L5&lt;=IN!$C$47,IN!$C$36,0)</f>
        <v>0.04</v>
      </c>
      <c r="M33" s="230">
        <f>IF(M5&lt;=IN!$C$47,IN!$C$36,0)</f>
        <v>0.04</v>
      </c>
      <c r="N33" s="230">
        <f>IF(N5&lt;=IN!$C$47,IN!$C$36,0)</f>
        <v>0.04</v>
      </c>
      <c r="O33" s="230">
        <f>IF(O5&lt;=IN!$C$47,IN!$C$36,0)</f>
        <v>0.04</v>
      </c>
      <c r="P33" s="230">
        <f>IF(P5&lt;=IN!$C$47,IN!$C$36,0)</f>
        <v>0.04</v>
      </c>
      <c r="Q33" s="230">
        <f>IF(Q5&lt;=IN!$C$47,IN!$C$36,0)</f>
        <v>0.04</v>
      </c>
      <c r="R33" s="230">
        <f>IF(R5&lt;=IN!$C$47,IN!$C$36,0)</f>
        <v>0.04</v>
      </c>
      <c r="S33" s="230">
        <f>IF(S5&lt;=IN!$C$47,IN!$C$36,0)</f>
        <v>0.04</v>
      </c>
      <c r="T33" s="230">
        <f>IF(T5&lt;=IN!$C$47,IN!$C$36,0)</f>
        <v>0.04</v>
      </c>
      <c r="U33" s="230">
        <f>IF(U5&lt;=IN!$C$47,IN!$C$36,0)</f>
        <v>0.04</v>
      </c>
      <c r="V33" s="230">
        <f>IF(V5&lt;=IN!$C$47,IN!$C$36,0)</f>
        <v>0.04</v>
      </c>
      <c r="W33" s="230">
        <f>IF(W5&lt;=IN!$C$47,IN!$C$36,0)</f>
        <v>0.04</v>
      </c>
      <c r="X33" s="230">
        <f>IF(X5&lt;=IN!$C$47,IN!$C$36,0)</f>
        <v>0.04</v>
      </c>
      <c r="Y33" s="230">
        <f>IF(Y5&lt;=IN!$C$47,IN!$C$36,0)</f>
        <v>0.04</v>
      </c>
      <c r="Z33" s="230">
        <f>IF(Z5&lt;=IN!$C$47,IN!$C$36,0)</f>
        <v>0</v>
      </c>
      <c r="AA33" s="230">
        <f>IF(AA5&lt;=IN!$C$47,IN!$C$36,0)</f>
        <v>0</v>
      </c>
      <c r="AB33" s="230">
        <f>IF(AB5&lt;=IN!$C$47,IN!$C$36,0)</f>
        <v>0</v>
      </c>
      <c r="AC33" s="230">
        <f>IF(AC5&lt;=IN!$C$47,IN!$C$36,0)</f>
        <v>0</v>
      </c>
      <c r="AD33" s="230">
        <f>IF(AD5&lt;=IN!$C$47,IN!$C$36,0)</f>
        <v>0</v>
      </c>
      <c r="AE33" s="230">
        <f>IF(AE5&lt;=IN!$C$47,IN!$C$36,0)</f>
        <v>0</v>
      </c>
      <c r="AF33" s="230">
        <f>IF(AF5&lt;=IN!$C$47,IN!$C$36,0)</f>
        <v>0</v>
      </c>
      <c r="AG33" s="230"/>
    </row>
    <row r="34" spans="2:33" x14ac:dyDescent="0.25">
      <c r="B34" s="392" t="s">
        <v>40</v>
      </c>
      <c r="C34" s="231">
        <f>IF(C5&lt;=IN!$C$47,IN!$C$37,0)</f>
        <v>46830.95</v>
      </c>
      <c r="D34" s="231">
        <f>C34+(C34*1%)</f>
        <v>47299.2595</v>
      </c>
      <c r="E34" s="231">
        <f t="shared" ref="E34:V34" si="12">D34+(D34*1%)</f>
        <v>47772.252095000003</v>
      </c>
      <c r="F34" s="231">
        <f t="shared" si="12"/>
        <v>48249.974615950006</v>
      </c>
      <c r="G34" s="231">
        <f t="shared" si="12"/>
        <v>48732.474362109504</v>
      </c>
      <c r="H34" s="231">
        <f t="shared" si="12"/>
        <v>49219.799105730599</v>
      </c>
      <c r="I34" s="231">
        <f t="shared" si="12"/>
        <v>49711.997096787905</v>
      </c>
      <c r="J34" s="231">
        <f t="shared" si="12"/>
        <v>50209.117067755782</v>
      </c>
      <c r="K34" s="231">
        <f t="shared" si="12"/>
        <v>50711.208238433341</v>
      </c>
      <c r="L34" s="231">
        <f t="shared" si="12"/>
        <v>51218.320320817671</v>
      </c>
      <c r="M34" s="231">
        <f t="shared" si="12"/>
        <v>51730.503524025851</v>
      </c>
      <c r="N34" s="231">
        <f t="shared" si="12"/>
        <v>52247.808559266108</v>
      </c>
      <c r="O34" s="231">
        <f t="shared" si="12"/>
        <v>52770.286644858767</v>
      </c>
      <c r="P34" s="231">
        <f t="shared" si="12"/>
        <v>53297.989511307351</v>
      </c>
      <c r="Q34" s="231">
        <f t="shared" si="12"/>
        <v>53830.969406420423</v>
      </c>
      <c r="R34" s="231">
        <f t="shared" si="12"/>
        <v>54369.279100484629</v>
      </c>
      <c r="S34" s="231">
        <f t="shared" si="12"/>
        <v>54912.971891489477</v>
      </c>
      <c r="T34" s="231">
        <f t="shared" si="12"/>
        <v>55462.101610404374</v>
      </c>
      <c r="U34" s="231">
        <f t="shared" si="12"/>
        <v>56016.722626508417</v>
      </c>
      <c r="V34" s="231">
        <f t="shared" si="12"/>
        <v>56576.8898527735</v>
      </c>
      <c r="W34" s="231">
        <f>IF(W5&lt;=IN!$C$47,IN!$C$37,0)</f>
        <v>46830.95</v>
      </c>
      <c r="X34" s="231">
        <f>IF(X5&lt;=IN!$C$47,IN!$C$37,0)</f>
        <v>46830.95</v>
      </c>
      <c r="Y34" s="231">
        <f>IF(Y5&lt;=IN!$C$47,IN!$C$37,0)</f>
        <v>46830.95</v>
      </c>
      <c r="Z34" s="231">
        <f>IF(Z5&lt;=IN!$C$47,IN!$C$37,0)</f>
        <v>0</v>
      </c>
      <c r="AA34" s="231">
        <f>IF(AA5&lt;=IN!$C$47,IN!$C$37,0)</f>
        <v>0</v>
      </c>
      <c r="AB34" s="231">
        <f>IF(AB5&lt;=IN!$C$47,IN!$C$37,0)</f>
        <v>0</v>
      </c>
      <c r="AC34" s="231">
        <f>IF(AC5&lt;=IN!$C$47,IN!$C$37,0)</f>
        <v>0</v>
      </c>
      <c r="AD34" s="231">
        <f>IF(AD5&lt;=IN!$C$47,IN!$C$37,0)</f>
        <v>0</v>
      </c>
      <c r="AE34" s="231">
        <f>IF(AE5&lt;=IN!$C$47,IN!$C$37,0)</f>
        <v>0</v>
      </c>
      <c r="AF34" s="231">
        <f>IF(AF5&lt;=IN!$C$47,IN!$C$37,0)</f>
        <v>0</v>
      </c>
      <c r="AG34" s="231"/>
    </row>
    <row r="35" spans="2:33" ht="41.25" customHeight="1" x14ac:dyDescent="0.25">
      <c r="B35" s="308" t="s">
        <v>289</v>
      </c>
      <c r="C35" s="183">
        <f>IN!I38</f>
        <v>199875.78000000003</v>
      </c>
      <c r="D35" s="183">
        <v>0</v>
      </c>
      <c r="E35" s="183">
        <v>0</v>
      </c>
      <c r="F35" s="183">
        <v>0</v>
      </c>
      <c r="G35" s="183">
        <v>0</v>
      </c>
      <c r="H35" s="183">
        <v>0</v>
      </c>
      <c r="I35" s="183">
        <v>0</v>
      </c>
      <c r="J35" s="183">
        <v>0</v>
      </c>
      <c r="K35" s="183">
        <v>0</v>
      </c>
      <c r="L35" s="183">
        <v>0</v>
      </c>
      <c r="M35" s="183">
        <v>0</v>
      </c>
      <c r="N35" s="183">
        <v>0</v>
      </c>
      <c r="O35" s="183">
        <v>0</v>
      </c>
      <c r="P35" s="183">
        <v>0</v>
      </c>
      <c r="Q35" s="183">
        <v>0</v>
      </c>
      <c r="R35" s="183">
        <v>0</v>
      </c>
      <c r="S35" s="183">
        <v>0</v>
      </c>
      <c r="T35" s="183">
        <v>0</v>
      </c>
      <c r="U35" s="183">
        <v>0</v>
      </c>
      <c r="V35" s="183">
        <v>0</v>
      </c>
      <c r="W35" s="183">
        <v>0</v>
      </c>
      <c r="X35" s="183">
        <v>0</v>
      </c>
      <c r="Y35" s="183">
        <v>0</v>
      </c>
      <c r="Z35" s="183">
        <v>0</v>
      </c>
      <c r="AA35" s="183">
        <v>0</v>
      </c>
      <c r="AB35" s="183">
        <v>0</v>
      </c>
      <c r="AC35" s="183">
        <v>0</v>
      </c>
      <c r="AD35" s="183">
        <v>0</v>
      </c>
      <c r="AE35" s="183">
        <v>0</v>
      </c>
      <c r="AF35" s="183">
        <v>0</v>
      </c>
      <c r="AG35" s="183"/>
    </row>
    <row r="36" spans="2:33" s="428" customFormat="1" x14ac:dyDescent="0.25">
      <c r="B36" s="429" t="s">
        <v>218</v>
      </c>
      <c r="C36" s="431">
        <f>SUM(C32,C35)</f>
        <v>201749.01800000004</v>
      </c>
      <c r="D36" s="431">
        <f>SUM(D32,D35)</f>
        <v>1891.97038</v>
      </c>
      <c r="E36" s="431">
        <f>SUM(E32,E35)</f>
        <v>1910.8900838000002</v>
      </c>
      <c r="F36" s="431">
        <f>SUM(F32,F35)</f>
        <v>1929.9989846380004</v>
      </c>
      <c r="G36" s="431">
        <f t="shared" ref="G36:AE36" si="13">SUM(G32,G35)</f>
        <v>1949.2989744843801</v>
      </c>
      <c r="H36" s="431">
        <f t="shared" si="13"/>
        <v>1968.791964229224</v>
      </c>
      <c r="I36" s="431">
        <f t="shared" si="13"/>
        <v>1988.4798838715162</v>
      </c>
      <c r="J36" s="431">
        <f t="shared" si="13"/>
        <v>2008.3646827102314</v>
      </c>
      <c r="K36" s="431">
        <f t="shared" si="13"/>
        <v>2028.4483295373336</v>
      </c>
      <c r="L36" s="431">
        <f t="shared" si="13"/>
        <v>2048.7328128327067</v>
      </c>
      <c r="M36" s="431">
        <f t="shared" si="13"/>
        <v>2069.2201409610343</v>
      </c>
      <c r="N36" s="431">
        <f t="shared" si="13"/>
        <v>2089.9123423706442</v>
      </c>
      <c r="O36" s="431">
        <f t="shared" si="13"/>
        <v>2110.8114657943506</v>
      </c>
      <c r="P36" s="431">
        <f t="shared" si="13"/>
        <v>2131.9195804522942</v>
      </c>
      <c r="Q36" s="431">
        <f t="shared" si="13"/>
        <v>2153.2387762568169</v>
      </c>
      <c r="R36" s="431">
        <f t="shared" si="13"/>
        <v>2174.7711640193852</v>
      </c>
      <c r="S36" s="431">
        <f t="shared" si="13"/>
        <v>2196.518875659579</v>
      </c>
      <c r="T36" s="431">
        <f t="shared" si="13"/>
        <v>2218.484064416175</v>
      </c>
      <c r="U36" s="431">
        <f t="shared" si="13"/>
        <v>2240.6689050603368</v>
      </c>
      <c r="V36" s="431">
        <f>SUM(V32,V35)</f>
        <v>2263.0755941109401</v>
      </c>
      <c r="W36" s="431">
        <f t="shared" si="13"/>
        <v>1873.2379999999998</v>
      </c>
      <c r="X36" s="431">
        <f t="shared" si="13"/>
        <v>1873.2379999999998</v>
      </c>
      <c r="Y36" s="431">
        <f t="shared" si="13"/>
        <v>1873.2379999999998</v>
      </c>
      <c r="Z36" s="431">
        <f t="shared" si="13"/>
        <v>0</v>
      </c>
      <c r="AA36" s="431">
        <f t="shared" si="13"/>
        <v>0</v>
      </c>
      <c r="AB36" s="431">
        <f t="shared" si="13"/>
        <v>0</v>
      </c>
      <c r="AC36" s="431">
        <f t="shared" si="13"/>
        <v>0</v>
      </c>
      <c r="AD36" s="431">
        <f t="shared" si="13"/>
        <v>0</v>
      </c>
      <c r="AE36" s="431">
        <f t="shared" si="13"/>
        <v>0</v>
      </c>
      <c r="AF36" s="431">
        <f>SUM(AF32,AF35)</f>
        <v>0</v>
      </c>
      <c r="AG36" s="431"/>
    </row>
    <row r="37" spans="2:33" x14ac:dyDescent="0.25">
      <c r="B37" s="195" t="s">
        <v>219</v>
      </c>
      <c r="C37" s="385">
        <f t="shared" ref="C37:AF37" si="14">C15-C29-C36</f>
        <v>8134.5809233153705</v>
      </c>
      <c r="D37" s="385">
        <f t="shared" si="14"/>
        <v>472961.27379651531</v>
      </c>
      <c r="E37" s="385">
        <f t="shared" si="14"/>
        <v>474062.86532847938</v>
      </c>
      <c r="F37" s="385">
        <f t="shared" si="14"/>
        <v>475175.63844419573</v>
      </c>
      <c r="G37" s="385">
        <f t="shared" si="14"/>
        <v>476299.70827287028</v>
      </c>
      <c r="H37" s="385">
        <f t="shared" si="14"/>
        <v>477435.19116126915</v>
      </c>
      <c r="I37" s="385">
        <f t="shared" si="14"/>
        <v>478582.20468721801</v>
      </c>
      <c r="J37" s="385">
        <f t="shared" si="14"/>
        <v>449740.86767326592</v>
      </c>
      <c r="K37" s="385">
        <f t="shared" si="14"/>
        <v>480911.30020051013</v>
      </c>
      <c r="L37" s="385">
        <f t="shared" si="14"/>
        <v>482093.62362258992</v>
      </c>
      <c r="M37" s="385">
        <f t="shared" si="14"/>
        <v>483287.96057984448</v>
      </c>
      <c r="N37" s="385">
        <f t="shared" si="14"/>
        <v>484494.43501364498</v>
      </c>
      <c r="O37" s="385">
        <f t="shared" si="14"/>
        <v>485713.17218089616</v>
      </c>
      <c r="P37" s="385">
        <f t="shared" si="14"/>
        <v>456944.29866871482</v>
      </c>
      <c r="Q37" s="385">
        <f t="shared" si="14"/>
        <v>488187.94240928465</v>
      </c>
      <c r="R37" s="385">
        <f t="shared" si="14"/>
        <v>489444.23269489006</v>
      </c>
      <c r="S37" s="385">
        <f t="shared" si="14"/>
        <v>490713.30019313475</v>
      </c>
      <c r="T37" s="385">
        <f t="shared" si="14"/>
        <v>491995.27696234058</v>
      </c>
      <c r="U37" s="385">
        <f t="shared" si="14"/>
        <v>493290.29646713618</v>
      </c>
      <c r="V37" s="385">
        <f t="shared" si="14"/>
        <v>494598.49359423632</v>
      </c>
      <c r="W37" s="385">
        <f t="shared" si="14"/>
        <v>496332.4730184605</v>
      </c>
      <c r="X37" s="385">
        <f t="shared" si="14"/>
        <v>497690.29288219224</v>
      </c>
      <c r="Y37" s="385">
        <f t="shared" si="14"/>
        <v>499061.93229218491</v>
      </c>
      <c r="Z37" s="385">
        <f t="shared" si="14"/>
        <v>0</v>
      </c>
      <c r="AA37" s="385">
        <f t="shared" si="14"/>
        <v>0</v>
      </c>
      <c r="AB37" s="385">
        <f t="shared" si="14"/>
        <v>0</v>
      </c>
      <c r="AC37" s="385">
        <f t="shared" si="14"/>
        <v>0</v>
      </c>
      <c r="AD37" s="385">
        <f t="shared" si="14"/>
        <v>0</v>
      </c>
      <c r="AE37" s="385">
        <f t="shared" si="14"/>
        <v>0</v>
      </c>
      <c r="AF37" s="385">
        <f t="shared" si="14"/>
        <v>0</v>
      </c>
      <c r="AG37" s="400"/>
    </row>
    <row r="38" spans="2:33" x14ac:dyDescent="0.25">
      <c r="B38" s="386" t="s">
        <v>220</v>
      </c>
      <c r="C38" s="387">
        <f>IF(C5&lt;=IN!$C$47,'CE CC opz2'!C37/'CE CC opz2'!C15,"")</f>
        <v>9.9927521900418578E-3</v>
      </c>
      <c r="D38" s="387">
        <f>IF(D5&lt;=IN!$C$47,'CE CC opz2'!D37/'CE CC opz2'!D15,"")</f>
        <v>0.5765095197892961</v>
      </c>
      <c r="E38" s="387">
        <f>IF(E5&lt;=IN!$C$47,'CE CC opz2'!E37/'CE CC opz2'!E15,"")</f>
        <v>0.57335177006000626</v>
      </c>
      <c r="F38" s="387">
        <f>IF(F5&lt;=IN!$C$47,'CE CC opz2'!F37/'CE CC opz2'!F15,"")</f>
        <v>0.57018656145140012</v>
      </c>
      <c r="G38" s="387">
        <f>IF(G5&lt;=IN!$C$47,'CE CC opz2'!G37/'CE CC opz2'!G15,"")</f>
        <v>0.56701416359043533</v>
      </c>
      <c r="H38" s="387">
        <f>IF(H5&lt;=IN!$C$47,'CE CC opz2'!H37/'CE CC opz2'!H15,"")</f>
        <v>0.56383484913446447</v>
      </c>
      <c r="I38" s="387">
        <f>IF(I5&lt;=IN!$C$47,'CE CC opz2'!I37/'CE CC opz2'!I15,"")</f>
        <v>0.56064889367943804</v>
      </c>
      <c r="J38" s="387">
        <f>IF(J5&lt;=IN!$C$47,'CE CC opz2'!J37/'CE CC opz2'!J15,"")</f>
        <v>0.52259672027929338</v>
      </c>
      <c r="K38" s="387">
        <f>IF(K5&lt;=IN!$C$47,'CE CC opz2'!K37/'CE CC opz2'!K15,"")</f>
        <v>0.55425817628037</v>
      </c>
      <c r="L38" s="387">
        <f>IF(L5&lt;=IN!$C$47,'CE CC opz2'!L37/'CE CC opz2'!L15,"")</f>
        <v>0.55105397935957179</v>
      </c>
      <c r="M38" s="387">
        <f>IF(M5&lt;=IN!$C$47,'CE CC opz2'!M37/'CE CC opz2'!M15,"")</f>
        <v>0.54784427128525648</v>
      </c>
      <c r="N38" s="387">
        <f>IF(N5&lt;=IN!$C$47,'CE CC opz2'!N37/'CE CC opz2'!N15,"")</f>
        <v>0.54462934088201276</v>
      </c>
      <c r="O38" s="387">
        <f>IF(O5&lt;=IN!$C$47,'CE CC opz2'!O37/'CE CC opz2'!O15,"")</f>
        <v>0.54140947931074668</v>
      </c>
      <c r="P38" s="387">
        <f>IF(P5&lt;=IN!$C$47,'CE CC opz2'!P37/'CE CC opz2'!P15,"")</f>
        <v>0.50502810874748394</v>
      </c>
      <c r="Q38" s="387">
        <f>IF(Q5&lt;=IN!$C$47,'CE CC opz2'!Q37/'CE CC opz2'!Q15,"")</f>
        <v>0.53495613833747613</v>
      </c>
      <c r="R38" s="387">
        <f>IF(R5&lt;=IN!$C$47,'CE CC opz2'!R37/'CE CC opz2'!R15,"")</f>
        <v>0.53172325195393433</v>
      </c>
      <c r="S38" s="387">
        <f>IF(S5&lt;=IN!$C$47,'CE CC opz2'!S37/'CE CC opz2'!S15,"")</f>
        <v>0.52848662021275306</v>
      </c>
      <c r="T38" s="387">
        <f>IF(T5&lt;=IN!$C$47,'CE CC opz2'!T37/'CE CC opz2'!T15,"")</f>
        <v>0.52524654429203932</v>
      </c>
      <c r="U38" s="387">
        <f>IF(U5&lt;=IN!$C$47,'CE CC opz2'!U37/'CE CC opz2'!U15,"")</f>
        <v>0.52200332702730778</v>
      </c>
      <c r="V38" s="387">
        <f>IF(V5&lt;=IN!$C$47,'CE CC opz2'!V37/'CE CC opz2'!V15,"")</f>
        <v>0.51875727279218642</v>
      </c>
      <c r="W38" s="387">
        <f>IF(W5&lt;=IN!$C$47,'CE CC opz2'!W37/'CE CC opz2'!W15,"")</f>
        <v>0.51593744809652109</v>
      </c>
      <c r="X38" s="387">
        <f>IF(X5&lt;=IN!$C$47,'CE CC opz2'!X37/'CE CC opz2'!X15,"")</f>
        <v>0.51270633768830998</v>
      </c>
      <c r="Y38" s="387">
        <f>IF(Y5&lt;=IN!$C$47,'CE CC opz2'!Y37/'CE CC opz2'!Y15,"")</f>
        <v>0.50947312672860579</v>
      </c>
      <c r="Z38" s="387" t="str">
        <f>IF(Z5&lt;=IN!$C$47,'CE CC opz2'!Z37/'CE CC opz2'!Z15,"")</f>
        <v/>
      </c>
      <c r="AA38" s="387" t="str">
        <f>IF(AA5&lt;=IN!$C$47,'CE CC opz2'!AA37/'CE CC opz2'!AA15,"")</f>
        <v/>
      </c>
      <c r="AB38" s="387" t="str">
        <f>IF(AB5&lt;=IN!$C$47,'CE CC opz2'!AB37/'CE CC opz2'!AB15,"")</f>
        <v/>
      </c>
      <c r="AC38" s="387" t="str">
        <f>IF(AC5&lt;=IN!$C$47,'CE CC opz2'!AC37/'CE CC opz2'!AC15,"")</f>
        <v/>
      </c>
      <c r="AD38" s="387" t="str">
        <f>IF(AD5&lt;=IN!$C$47,'CE CC opz2'!AD37/'CE CC opz2'!AD15,"")</f>
        <v/>
      </c>
      <c r="AE38" s="387" t="str">
        <f>IF(AE5&lt;=IN!$C$47,'CE CC opz2'!AE37/'CE CC opz2'!AE15,"")</f>
        <v/>
      </c>
      <c r="AF38" s="387" t="str">
        <f>IF(AF5&lt;=IN!$C$47,'CE CC opz2'!AF37/'CE CC opz2'!AF15,"")</f>
        <v/>
      </c>
      <c r="AG38" s="387"/>
    </row>
    <row r="39" spans="2:33" ht="20.100000000000001" customHeight="1" x14ac:dyDescent="0.25">
      <c r="B39" s="194" t="s">
        <v>221</v>
      </c>
      <c r="C39" s="183">
        <f>Investimenti!G41</f>
        <v>235119.70527066509</v>
      </c>
      <c r="D39" s="183">
        <f>Investimenti!H41</f>
        <v>235119.70527066509</v>
      </c>
      <c r="E39" s="183">
        <f>Investimenti!I41</f>
        <v>235119.70527066509</v>
      </c>
      <c r="F39" s="183">
        <f>Investimenti!J41</f>
        <v>235119.70527066509</v>
      </c>
      <c r="G39" s="183">
        <f>Investimenti!K41</f>
        <v>235119.70527066509</v>
      </c>
      <c r="H39" s="183">
        <f>Investimenti!L41</f>
        <v>235119.70527066509</v>
      </c>
      <c r="I39" s="183">
        <f>Investimenti!M41</f>
        <v>235119.70527066509</v>
      </c>
      <c r="J39" s="183">
        <f>Investimenti!N41</f>
        <v>235119.70527066509</v>
      </c>
      <c r="K39" s="183">
        <f>Investimenti!O41</f>
        <v>235119.70527066509</v>
      </c>
      <c r="L39" s="183">
        <f>Investimenti!P41</f>
        <v>235119.70527066509</v>
      </c>
      <c r="M39" s="183">
        <f>Investimenti!Q41</f>
        <v>235119.70527066509</v>
      </c>
      <c r="N39" s="183">
        <f>Investimenti!R41</f>
        <v>235119.70527066509</v>
      </c>
      <c r="O39" s="183">
        <f>Investimenti!S41</f>
        <v>235119.70527066509</v>
      </c>
      <c r="P39" s="183">
        <f>Investimenti!T41</f>
        <v>235119.70527066509</v>
      </c>
      <c r="Q39" s="183">
        <f>Investimenti!U41</f>
        <v>235119.70527066509</v>
      </c>
      <c r="R39" s="183">
        <f>Investimenti!V41</f>
        <v>235119.70527066509</v>
      </c>
      <c r="S39" s="183">
        <f>Investimenti!W41</f>
        <v>235119.70527066509</v>
      </c>
      <c r="T39" s="183">
        <f>Investimenti!X41</f>
        <v>235119.70527066509</v>
      </c>
      <c r="U39" s="183">
        <f>Investimenti!Y41</f>
        <v>235119.70527066509</v>
      </c>
      <c r="V39" s="183">
        <f>Investimenti!Z41</f>
        <v>235119.70527066509</v>
      </c>
      <c r="W39" s="183">
        <f>Investimenti!AA41</f>
        <v>235119.70527066509</v>
      </c>
      <c r="X39" s="183">
        <f>Investimenti!AB41</f>
        <v>235119.70527066509</v>
      </c>
      <c r="Y39" s="183">
        <f>Investimenti!AC41</f>
        <v>235119.70527066509</v>
      </c>
      <c r="Z39" s="183">
        <f>Investimenti!AD41</f>
        <v>0</v>
      </c>
      <c r="AA39" s="183">
        <f>Investimenti!AE41</f>
        <v>0</v>
      </c>
      <c r="AB39" s="183">
        <f>Investimenti!AF41</f>
        <v>0</v>
      </c>
      <c r="AC39" s="183">
        <f>Investimenti!AG41</f>
        <v>0</v>
      </c>
      <c r="AD39" s="183">
        <f>Investimenti!AH41</f>
        <v>0</v>
      </c>
      <c r="AE39" s="183">
        <f>Investimenti!AI41</f>
        <v>0</v>
      </c>
      <c r="AF39" s="183">
        <f>Investimenti!AJ41</f>
        <v>0</v>
      </c>
      <c r="AG39" s="183"/>
    </row>
    <row r="40" spans="2:33" x14ac:dyDescent="0.25">
      <c r="B40" s="195" t="s">
        <v>222</v>
      </c>
      <c r="C40" s="191">
        <f>C37-C39</f>
        <v>-226985.12434734972</v>
      </c>
      <c r="D40" s="191">
        <f>D37-D39</f>
        <v>237841.56852585022</v>
      </c>
      <c r="E40" s="191">
        <f>E37-E39</f>
        <v>238943.1600578143</v>
      </c>
      <c r="F40" s="191">
        <f>F37-F39</f>
        <v>240055.93317353065</v>
      </c>
      <c r="G40" s="191">
        <f t="shared" ref="G40:AB40" si="15">G37-G39</f>
        <v>241180.00300220519</v>
      </c>
      <c r="H40" s="191">
        <f t="shared" si="15"/>
        <v>242315.48589060406</v>
      </c>
      <c r="I40" s="191">
        <f t="shared" si="15"/>
        <v>243462.49941655292</v>
      </c>
      <c r="J40" s="191">
        <f t="shared" si="15"/>
        <v>214621.16240260084</v>
      </c>
      <c r="K40" s="191">
        <f t="shared" si="15"/>
        <v>245791.59492984504</v>
      </c>
      <c r="L40" s="191">
        <f t="shared" si="15"/>
        <v>246973.91835192483</v>
      </c>
      <c r="M40" s="191">
        <f t="shared" si="15"/>
        <v>248168.2553091794</v>
      </c>
      <c r="N40" s="191">
        <f t="shared" si="15"/>
        <v>249374.72974297989</v>
      </c>
      <c r="O40" s="191">
        <f t="shared" si="15"/>
        <v>250593.46691023107</v>
      </c>
      <c r="P40" s="191">
        <f t="shared" si="15"/>
        <v>221824.59339804974</v>
      </c>
      <c r="Q40" s="191">
        <f t="shared" si="15"/>
        <v>253068.23713861956</v>
      </c>
      <c r="R40" s="191">
        <f t="shared" si="15"/>
        <v>254324.52742422497</v>
      </c>
      <c r="S40" s="192">
        <f t="shared" si="15"/>
        <v>255593.59492246967</v>
      </c>
      <c r="T40" s="191">
        <f t="shared" si="15"/>
        <v>256875.57169167549</v>
      </c>
      <c r="U40" s="191">
        <f t="shared" si="15"/>
        <v>258170.5911964711</v>
      </c>
      <c r="V40" s="191">
        <f t="shared" si="15"/>
        <v>259478.78832357124</v>
      </c>
      <c r="W40" s="191">
        <f t="shared" si="15"/>
        <v>261212.76774779541</v>
      </c>
      <c r="X40" s="191">
        <f t="shared" si="15"/>
        <v>262570.58761152718</v>
      </c>
      <c r="Y40" s="191">
        <f t="shared" si="15"/>
        <v>263942.22702151979</v>
      </c>
      <c r="Z40" s="191">
        <f t="shared" si="15"/>
        <v>0</v>
      </c>
      <c r="AA40" s="191">
        <f t="shared" si="15"/>
        <v>0</v>
      </c>
      <c r="AB40" s="191">
        <f t="shared" si="15"/>
        <v>0</v>
      </c>
      <c r="AC40" s="191">
        <f>AC37-AC39</f>
        <v>0</v>
      </c>
      <c r="AD40" s="191">
        <f>AD37-AD39</f>
        <v>0</v>
      </c>
      <c r="AE40" s="193">
        <f>AE37-AE39</f>
        <v>0</v>
      </c>
      <c r="AF40" s="193">
        <f>AF37-AF39</f>
        <v>0</v>
      </c>
      <c r="AG40" s="401"/>
    </row>
    <row r="41" spans="2:33" x14ac:dyDescent="0.25">
      <c r="B41" s="386" t="s">
        <v>223</v>
      </c>
      <c r="C41" s="387">
        <f>IF(C5&lt;=IN!$C$47,'CE CC opz2'!C40/'CE CC opz2'!C15,"")</f>
        <v>-0.2788350278657577</v>
      </c>
      <c r="D41" s="387">
        <f>IF(D5&lt;=IN!$C$47,'CE CC opz2'!D40/'CE CC opz2'!D15,"")</f>
        <v>0.28991364843914019</v>
      </c>
      <c r="E41" s="387">
        <f>IF(E5&lt;=IN!$C$47,'CE CC opz2'!E40/'CE CC opz2'!E15,"")</f>
        <v>0.28898800936021979</v>
      </c>
      <c r="F41" s="387">
        <f>IF(F5&lt;=IN!$C$47,'CE CC opz2'!F40/'CE CC opz2'!F15,"")</f>
        <v>0.28805489174567023</v>
      </c>
      <c r="G41" s="387">
        <f>IF(G5&lt;=IN!$C$47,'CE CC opz2'!G40/'CE CC opz2'!G15,"")</f>
        <v>0.28711434271693714</v>
      </c>
      <c r="H41" s="387">
        <f>IF(H5&lt;=IN!$C$47,'CE CC opz2'!H40/'CE CC opz2'!H15,"")</f>
        <v>0.28616641160815354</v>
      </c>
      <c r="I41" s="387">
        <f>IF(I5&lt;=IN!$C$47,'CE CC opz2'!I40/'CE CC opz2'!I15,"")</f>
        <v>0.2852111499622727</v>
      </c>
      <c r="J41" s="387">
        <f>IF(J5&lt;=IN!$C$47,'CE CC opz2'!J40/'CE CC opz2'!J15,"")</f>
        <v>0.24938875613948563</v>
      </c>
      <c r="K41" s="387">
        <f>IF(K5&lt;=IN!$C$47,'CE CC opz2'!K40/'CE CC opz2'!K15,"")</f>
        <v>0.28327885224169003</v>
      </c>
      <c r="L41" s="387">
        <f>IF(L5&lt;=IN!$C$47,'CE CC opz2'!L40/'CE CC opz2'!L15,"")</f>
        <v>0.28230193024166145</v>
      </c>
      <c r="M41" s="387">
        <f>IF(M5&lt;=IN!$C$47,'CE CC opz2'!M40/'CE CC opz2'!M15,"")</f>
        <v>0.28131790583582972</v>
      </c>
      <c r="N41" s="387">
        <f>IF(N5&lt;=IN!$C$47,'CE CC opz2'!N40/'CE CC opz2'!N15,"")</f>
        <v>0.28032684150174841</v>
      </c>
      <c r="O41" s="387">
        <f>IF(O5&lt;=IN!$C$47,'CE CC opz2'!O40/'CE CC opz2'!O15,"")</f>
        <v>0.27932880187159825</v>
      </c>
      <c r="P41" s="387">
        <f>IF(P5&lt;=IN!$C$47,'CE CC opz2'!P40/'CE CC opz2'!P15,"")</f>
        <v>0.24516698250505334</v>
      </c>
      <c r="Q41" s="387">
        <f>IF(Q5&lt;=IN!$C$47,'CE CC opz2'!Q40/'CE CC opz2'!Q15,"")</f>
        <v>0.27731206593801738</v>
      </c>
      <c r="R41" s="387">
        <f>IF(R5&lt;=IN!$C$47,'CE CC opz2'!R40/'CE CC opz2'!R15,"")</f>
        <v>0.27629350953647125</v>
      </c>
      <c r="S41" s="387">
        <f>IF(S5&lt;=IN!$C$47,'CE CC opz2'!S40/'CE CC opz2'!S15,"")</f>
        <v>0.27526825760671175</v>
      </c>
      <c r="T41" s="387">
        <f>IF(T5&lt;=IN!$C$47,'CE CC opz2'!T40/'CE CC opz2'!T15,"")</f>
        <v>0.27423638531071132</v>
      </c>
      <c r="U41" s="387">
        <f>IF(U5&lt;=IN!$C$47,'CE CC opz2'!U40/'CE CC opz2'!U15,"")</f>
        <v>0.27319796985737632</v>
      </c>
      <c r="V41" s="387">
        <f>IF(V5&lt;=IN!$C$47,'CE CC opz2'!V40/'CE CC opz2'!V15,"")</f>
        <v>0.27215309047946001</v>
      </c>
      <c r="W41" s="387">
        <f>IF(W5&lt;=IN!$C$47,'CE CC opz2'!W40/'CE CC opz2'!W15,"")</f>
        <v>0.27153058912793365</v>
      </c>
      <c r="X41" s="387">
        <f>IF(X5&lt;=IN!$C$47,'CE CC opz2'!X40/'CE CC opz2'!X15,"")</f>
        <v>0.27049272667015783</v>
      </c>
      <c r="Y41" s="387">
        <f>IF(Y5&lt;=IN!$C$47,'CE CC opz2'!Y40/'CE CC opz2'!Y15,"")</f>
        <v>0.26944846516090593</v>
      </c>
      <c r="Z41" s="387" t="str">
        <f>IF(Z5&lt;=IN!$C$47,'CE CC opz2'!Z40/'CE CC opz2'!Z15,"")</f>
        <v/>
      </c>
      <c r="AA41" s="387" t="str">
        <f>IF(AA5&lt;=IN!$C$47,'CE CC opz2'!AA40/'CE CC opz2'!AA15,"")</f>
        <v/>
      </c>
      <c r="AB41" s="387" t="str">
        <f>IF(AB5&lt;=IN!$C$47,'CE CC opz2'!AB40/'CE CC opz2'!AB15,"")</f>
        <v/>
      </c>
      <c r="AC41" s="387" t="str">
        <f>IF(AC5&lt;=IN!$C$47,'CE CC opz2'!AC40/'CE CC opz2'!AC15,"")</f>
        <v/>
      </c>
      <c r="AD41" s="387" t="str">
        <f>IF(AD5&lt;=IN!$C$47,'CE CC opz2'!AD40/'CE CC opz2'!AD15,"")</f>
        <v/>
      </c>
      <c r="AE41" s="387" t="str">
        <f>IF(AE5&lt;=IN!$C$47,'CE CC opz2'!AE40/'CE CC opz2'!AE15,"")</f>
        <v/>
      </c>
      <c r="AF41" s="387" t="str">
        <f>IF(AF5&lt;=IN!$C$47,'CE CC opz2'!AF40/'CE CC opz2'!AF15,"")</f>
        <v/>
      </c>
      <c r="AG41" s="387"/>
    </row>
    <row r="42" spans="2:33" ht="20.100000000000001" customHeight="1" x14ac:dyDescent="0.25">
      <c r="B42" s="194" t="s">
        <v>224</v>
      </c>
      <c r="C42" s="183">
        <f>IN!Q57</f>
        <v>72843.084820291304</v>
      </c>
      <c r="D42" s="183">
        <f>IN!Q58</f>
        <v>70541.695812233083</v>
      </c>
      <c r="E42" s="183">
        <f>IN!Q59</f>
        <v>68176.098050850051</v>
      </c>
      <c r="F42" s="183">
        <f>IN!Q60</f>
        <v>65744.500111924412</v>
      </c>
      <c r="G42" s="183">
        <f>IN!Q61</f>
        <v>63245.060590502755</v>
      </c>
      <c r="H42" s="183">
        <f>IN!Q62</f>
        <v>60675.886706433434</v>
      </c>
      <c r="I42" s="183">
        <f>IN!Q63</f>
        <v>58035.032870998577</v>
      </c>
      <c r="J42" s="183">
        <f>IN!Q64</f>
        <v>55320.499213555093</v>
      </c>
      <c r="K42" s="183">
        <f>IN!Q65</f>
        <v>52530.230067068929</v>
      </c>
      <c r="L42" s="183">
        <f>IN!Q66</f>
        <v>49662.112411395807</v>
      </c>
      <c r="M42" s="183">
        <f>IN!Q67</f>
        <v>46713.974273129403</v>
      </c>
      <c r="N42" s="183">
        <f>IN!Q68</f>
        <v>43683.583080805365</v>
      </c>
      <c r="O42" s="183">
        <f>IN!Q69</f>
        <v>40568.643974215483</v>
      </c>
      <c r="P42" s="183">
        <f>IN!Q70</f>
        <v>37366.798066551746</v>
      </c>
      <c r="Q42" s="183">
        <f>IN!Q71</f>
        <v>34075.620658064188</v>
      </c>
      <c r="R42" s="183">
        <f>IN!Q72</f>
        <v>30692.619399879834</v>
      </c>
      <c r="S42" s="183">
        <f>IN!Q73</f>
        <v>27215.232406592135</v>
      </c>
      <c r="T42" s="183">
        <f>IN!Q74</f>
        <v>23640.826316191706</v>
      </c>
      <c r="U42" s="183">
        <f>IN!Q75</f>
        <v>19966.694295869103</v>
      </c>
      <c r="V42" s="183">
        <f>IN!Q76</f>
        <v>16190.053992179503</v>
      </c>
      <c r="W42" s="183">
        <f>IN!Q77</f>
        <v>12308.04542401696</v>
      </c>
      <c r="X42" s="183">
        <f>IN!Q78</f>
        <v>8317.7288168026807</v>
      </c>
      <c r="Y42" s="183">
        <f>IN!Q79</f>
        <v>4216.0823762471255</v>
      </c>
      <c r="Z42" s="183">
        <f>IN!Q80</f>
        <v>0</v>
      </c>
      <c r="AA42" s="183">
        <f>IN!Q81</f>
        <v>0</v>
      </c>
      <c r="AB42" s="183">
        <f>IN!Q82</f>
        <v>0</v>
      </c>
      <c r="AC42" s="183">
        <f>IN!Q83</f>
        <v>0</v>
      </c>
      <c r="AD42" s="183">
        <f>IN!Q84</f>
        <v>0</v>
      </c>
      <c r="AE42" s="183">
        <f>IN!Q85</f>
        <v>0</v>
      </c>
      <c r="AF42" s="183">
        <f>IN!Q86</f>
        <v>0</v>
      </c>
      <c r="AG42" s="183"/>
    </row>
    <row r="43" spans="2:33" x14ac:dyDescent="0.25">
      <c r="B43" s="196" t="s">
        <v>225</v>
      </c>
      <c r="C43" s="191">
        <f>+C40-C42</f>
        <v>-299828.20916764101</v>
      </c>
      <c r="D43" s="191">
        <f>+D40-D42</f>
        <v>167299.87271361714</v>
      </c>
      <c r="E43" s="191">
        <f>+E40-E42</f>
        <v>170767.06200696423</v>
      </c>
      <c r="F43" s="191">
        <f>+F40-F42</f>
        <v>174311.43306160625</v>
      </c>
      <c r="G43" s="191">
        <f t="shared" ref="G43:AB43" si="16">+G40-G42</f>
        <v>177934.94241170245</v>
      </c>
      <c r="H43" s="191">
        <f t="shared" si="16"/>
        <v>181639.59918417063</v>
      </c>
      <c r="I43" s="191">
        <f t="shared" si="16"/>
        <v>185427.46654555434</v>
      </c>
      <c r="J43" s="191">
        <f t="shared" si="16"/>
        <v>159300.66318904574</v>
      </c>
      <c r="K43" s="191">
        <f t="shared" si="16"/>
        <v>193261.36486277613</v>
      </c>
      <c r="L43" s="191">
        <f t="shared" si="16"/>
        <v>197311.80594052904</v>
      </c>
      <c r="M43" s="191">
        <f t="shared" si="16"/>
        <v>201454.28103605</v>
      </c>
      <c r="N43" s="191">
        <f t="shared" si="16"/>
        <v>205691.14666217452</v>
      </c>
      <c r="O43" s="191">
        <f t="shared" si="16"/>
        <v>210024.82293601558</v>
      </c>
      <c r="P43" s="191">
        <f t="shared" si="16"/>
        <v>184457.795331498</v>
      </c>
      <c r="Q43" s="191">
        <f t="shared" si="16"/>
        <v>218992.61648055539</v>
      </c>
      <c r="R43" s="191">
        <f t="shared" si="16"/>
        <v>223631.90802434515</v>
      </c>
      <c r="S43" s="191">
        <f t="shared" si="16"/>
        <v>228378.36251587752</v>
      </c>
      <c r="T43" s="191">
        <f t="shared" si="16"/>
        <v>233234.74537548379</v>
      </c>
      <c r="U43" s="191">
        <f t="shared" si="16"/>
        <v>238203.89690060201</v>
      </c>
      <c r="V43" s="191">
        <f t="shared" si="16"/>
        <v>243288.73433139172</v>
      </c>
      <c r="W43" s="191">
        <f t="shared" si="16"/>
        <v>248904.72232377846</v>
      </c>
      <c r="X43" s="191">
        <f t="shared" si="16"/>
        <v>254252.85879472451</v>
      </c>
      <c r="Y43" s="191">
        <f t="shared" si="16"/>
        <v>259726.14464527267</v>
      </c>
      <c r="Z43" s="191">
        <f t="shared" si="16"/>
        <v>0</v>
      </c>
      <c r="AA43" s="191">
        <f t="shared" si="16"/>
        <v>0</v>
      </c>
      <c r="AB43" s="191">
        <f t="shared" si="16"/>
        <v>0</v>
      </c>
      <c r="AC43" s="191">
        <f>+AC40-AC42</f>
        <v>0</v>
      </c>
      <c r="AD43" s="191">
        <f>+AD40-AD42</f>
        <v>0</v>
      </c>
      <c r="AE43" s="191">
        <f>+AE40-AE42</f>
        <v>0</v>
      </c>
      <c r="AF43" s="191">
        <f>+AF40-AF42</f>
        <v>0</v>
      </c>
      <c r="AG43" s="402"/>
    </row>
    <row r="44" spans="2:33" x14ac:dyDescent="0.25">
      <c r="B44" s="386" t="s">
        <v>226</v>
      </c>
      <c r="C44" s="387">
        <f>IF(C5&lt;=IN!$C$47,'CE CC opz2'!C43/'CE CC opz2'!C15,"")</f>
        <v>-0.36831755956951795</v>
      </c>
      <c r="D44" s="387">
        <f>IF(D5&lt;=IN!$C$47,'CE CC opz2'!D43/'CE CC opz2'!D15,"")</f>
        <v>0.20392783642669648</v>
      </c>
      <c r="E44" s="387">
        <f>IF(E5&lt;=IN!$C$47,'CE CC opz2'!E43/'CE CC opz2'!E15,"")</f>
        <v>0.20653293989141708</v>
      </c>
      <c r="F44" s="387">
        <f>IF(F5&lt;=IN!$C$47,'CE CC opz2'!F43/'CE CC opz2'!F15,"")</f>
        <v>0.20916484053029893</v>
      </c>
      <c r="G44" s="387">
        <f>IF(G5&lt;=IN!$C$47,'CE CC opz2'!G43/'CE CC opz2'!G15,"")</f>
        <v>0.21182383863078774</v>
      </c>
      <c r="H44" s="387">
        <f>IF(H5&lt;=IN!$C$47,'CE CC opz2'!H43/'CE CC opz2'!H15,"")</f>
        <v>0.2145102369889143</v>
      </c>
      <c r="I44" s="387">
        <f>IF(I5&lt;=IN!$C$47,'CE CC opz2'!I43/'CE CC opz2'!I15,"")</f>
        <v>0.21722434089351467</v>
      </c>
      <c r="J44" s="387">
        <f>IF(J5&lt;=IN!$C$47,'CE CC opz2'!J43/'CE CC opz2'!J15,"")</f>
        <v>0.18510660272348722</v>
      </c>
      <c r="K44" s="387">
        <f>IF(K5&lt;=IN!$C$47,'CE CC opz2'!K43/'CE CC opz2'!K15,"")</f>
        <v>0.22273689886188255</v>
      </c>
      <c r="L44" s="387">
        <f>IF(L5&lt;=IN!$C$47,'CE CC opz2'!L43/'CE CC opz2'!L15,"")</f>
        <v>0.22553597581550194</v>
      </c>
      <c r="M44" s="387">
        <f>IF(M5&lt;=IN!$C$47,'CE CC opz2'!M43/'CE CC opz2'!M15,"")</f>
        <v>0.22836400405893512</v>
      </c>
      <c r="N44" s="387">
        <f>IF(N5&lt;=IN!$C$47,'CE CC opz2'!N43/'CE CC opz2'!N15,"")</f>
        <v>0.23122130108415076</v>
      </c>
      <c r="O44" s="387">
        <f>IF(O5&lt;=IN!$C$47,'CE CC opz2'!O43/'CE CC opz2'!O15,"")</f>
        <v>0.23410818676700554</v>
      </c>
      <c r="P44" s="387">
        <f>IF(P5&lt;=IN!$C$47,'CE CC opz2'!P43/'CE CC opz2'!P15,"")</f>
        <v>0.20386811213402486</v>
      </c>
      <c r="Q44" s="387">
        <f>IF(Q5&lt;=IN!$C$47,'CE CC opz2'!Q43/'CE CC opz2'!Q15,"")</f>
        <v>0.23997201540598675</v>
      </c>
      <c r="R44" s="387">
        <f>IF(R5&lt;=IN!$C$47,'CE CC opz2'!R43/'CE CC opz2'!R15,"")</f>
        <v>0.24294960984757233</v>
      </c>
      <c r="S44" s="387">
        <f>IF(S5&lt;=IN!$C$47,'CE CC opz2'!S43/'CE CC opz2'!S15,"")</f>
        <v>0.24595809587438522</v>
      </c>
      <c r="T44" s="387">
        <f>IF(T5&lt;=IN!$C$47,'CE CC opz2'!T43/'CE CC opz2'!T15,"")</f>
        <v>0.2489978049660905</v>
      </c>
      <c r="U44" s="387">
        <f>IF(U5&lt;=IN!$C$47,'CE CC opz2'!U43/'CE CC opz2'!U15,"")</f>
        <v>0.25206907085647084</v>
      </c>
      <c r="V44" s="387">
        <f>IF(V5&lt;=IN!$C$47,'CE CC opz2'!V43/'CE CC opz2'!V15,"")</f>
        <v>0.25517222951017549</v>
      </c>
      <c r="W44" s="387">
        <f>IF(W5&lt;=IN!$C$47,'CE CC opz2'!W43/'CE CC opz2'!W15,"")</f>
        <v>0.25873637981798348</v>
      </c>
      <c r="X44" s="387">
        <f>IF(X5&lt;=IN!$C$47,'CE CC opz2'!X43/'CE CC opz2'!X15,"")</f>
        <v>0.26192403979694034</v>
      </c>
      <c r="Y44" s="387">
        <f>IF(Y5&lt;=IN!$C$47,'CE CC opz2'!Y43/'CE CC opz2'!Y15,"")</f>
        <v>0.26514442886443601</v>
      </c>
      <c r="Z44" s="387" t="str">
        <f>IF(Z5&lt;=IN!$C$47,'CE CC opz2'!Z43/'CE CC opz2'!Z15,"")</f>
        <v/>
      </c>
      <c r="AA44" s="387" t="str">
        <f>IF(AA5&lt;=IN!$C$47,'CE CC opz2'!AA43/'CE CC opz2'!AA15,"")</f>
        <v/>
      </c>
      <c r="AB44" s="387" t="str">
        <f>IF(AB5&lt;=IN!$C$47,'CE CC opz2'!AB43/'CE CC opz2'!AB15,"")</f>
        <v/>
      </c>
      <c r="AC44" s="387" t="str">
        <f>IF(AC5&lt;=IN!$C$47,'CE CC opz2'!AC43/'CE CC opz2'!AC15,"")</f>
        <v/>
      </c>
      <c r="AD44" s="387" t="str">
        <f>IF(AD5&lt;=IN!$C$47,'CE CC opz2'!AD43/'CE CC opz2'!AD15,"")</f>
        <v/>
      </c>
      <c r="AE44" s="387" t="str">
        <f>IF(AE5&lt;=IN!$C$47,'CE CC opz2'!AE43/'CE CC opz2'!AE15,"")</f>
        <v/>
      </c>
      <c r="AF44" s="387" t="str">
        <f>IF(AF5&lt;=IN!$C$47,'CE CC opz2'!AF43/'CE CC opz2'!AF15,"")</f>
        <v/>
      </c>
      <c r="AG44" s="387"/>
    </row>
    <row r="45" spans="2:33" x14ac:dyDescent="0.25">
      <c r="B45" s="320" t="s">
        <v>227</v>
      </c>
      <c r="C45" s="317">
        <f>IF(C5&lt;=IN!$C$47,C75,0)</f>
        <v>-71958.770200233834</v>
      </c>
      <c r="D45" s="317">
        <f>IF(D5&lt;=IN!$C$47,D75,0)</f>
        <v>40151.969451268116</v>
      </c>
      <c r="E45" s="317">
        <f>IF(E5&lt;=IN!$C$47,E75,0)</f>
        <v>40984.094881671408</v>
      </c>
      <c r="F45" s="317">
        <f>IF(F5&lt;=IN!$C$47,F75,0)</f>
        <v>41834.743934785496</v>
      </c>
      <c r="G45" s="317">
        <f>IF(G5&lt;=IN!$C$47,G75,0)</f>
        <v>42704.386178808585</v>
      </c>
      <c r="H45" s="317">
        <f>IF(H5&lt;=IN!$C$47,H75,0)</f>
        <v>43593.503804200947</v>
      </c>
      <c r="I45" s="317">
        <f>IF(I5&lt;=IN!$C$47,I75,0)</f>
        <v>44502.591970933041</v>
      </c>
      <c r="J45" s="317">
        <f>IF(J5&lt;=IN!$C$47,J75,0)</f>
        <v>38232.159165370977</v>
      </c>
      <c r="K45" s="317">
        <f>IF(K5&lt;=IN!$C$47,K75,0)</f>
        <v>46382.727567066271</v>
      </c>
      <c r="L45" s="317">
        <f>IF(L5&lt;=IN!$C$47,L75,0)</f>
        <v>47354.833425726967</v>
      </c>
      <c r="M45" s="317">
        <f>IF(M5&lt;=IN!$C$47,M75,0)</f>
        <v>48349.027448651999</v>
      </c>
      <c r="N45" s="317">
        <f>IF(N5&lt;=IN!$C$47,N75,0)</f>
        <v>49365.87519892188</v>
      </c>
      <c r="O45" s="317">
        <f>IF(O5&lt;=IN!$C$47,O75,0)</f>
        <v>50405.957504643739</v>
      </c>
      <c r="P45" s="317">
        <f>IF(P5&lt;=IN!$C$47,P75,0)</f>
        <v>44269.870879559516</v>
      </c>
      <c r="Q45" s="317">
        <f>IF(Q5&lt;=IN!$C$47,Q75,0)</f>
        <v>52558.227955333292</v>
      </c>
      <c r="R45" s="317">
        <f>IF(R5&lt;=IN!$C$47,R75,0)</f>
        <v>53671.657925842832</v>
      </c>
      <c r="S45" s="317">
        <f>IF(S5&lt;=IN!$C$47,S75,0)</f>
        <v>54810.807003810602</v>
      </c>
      <c r="T45" s="317">
        <f>IF(T5&lt;=IN!$C$47,T75,0)</f>
        <v>55976.338890116109</v>
      </c>
      <c r="U45" s="317">
        <f>IF(U5&lt;=IN!$C$47,U75,0)</f>
        <v>57168.935256144476</v>
      </c>
      <c r="V45" s="317">
        <f>IF(V5&lt;=IN!$C$47,V75,0)</f>
        <v>58389.296239534015</v>
      </c>
      <c r="W45" s="317">
        <f>IF(W5&lt;=IN!$C$47,W75,0)</f>
        <v>59737.133357706829</v>
      </c>
      <c r="X45" s="317">
        <f>IF(X5&lt;=IN!$C$47,X75,0)</f>
        <v>61020.686110733877</v>
      </c>
      <c r="Y45" s="317">
        <f>IF(Y5&lt;=IN!$C$47,Y75,0)</f>
        <v>62334.274714865438</v>
      </c>
      <c r="Z45" s="317">
        <f>IF(Z5&lt;=IN!$C$47,Z75,0)</f>
        <v>0</v>
      </c>
      <c r="AA45" s="317">
        <f>IF(AA5&lt;=IN!$C$47,AA75,0)</f>
        <v>0</v>
      </c>
      <c r="AB45" s="317">
        <f>IF(AB5&lt;=IN!$C$47,AB75,0)</f>
        <v>0</v>
      </c>
      <c r="AC45" s="317">
        <f>IF(AC5&lt;=IN!$C$47,AC75,0)</f>
        <v>0</v>
      </c>
      <c r="AD45" s="317">
        <f>IF(AD5&lt;=IN!$C$47,AD75,0)</f>
        <v>0</v>
      </c>
      <c r="AE45" s="317">
        <f>IF(AE5&lt;=IN!$C$47,AE75,0)</f>
        <v>0</v>
      </c>
      <c r="AF45" s="317">
        <f>IF(AF5&lt;=IN!$C$47,AF75,0)</f>
        <v>0</v>
      </c>
      <c r="AG45" s="317">
        <f>IF(AG5&lt;=IN!$C$47,AG75,0)</f>
        <v>0</v>
      </c>
    </row>
    <row r="46" spans="2:33" x14ac:dyDescent="0.25">
      <c r="B46" s="321" t="s">
        <v>228</v>
      </c>
      <c r="C46" s="318">
        <f>IF(C5&lt;=IN!$C$47,C76,0)</f>
        <v>0</v>
      </c>
      <c r="D46" s="318">
        <f>IF(D5&lt;=IN!$C$47,D76,0)</f>
        <v>10068.80863404571</v>
      </c>
      <c r="E46" s="318">
        <f>IF(E5&lt;=IN!$C$47,E76,0)</f>
        <v>10115.870105947801</v>
      </c>
      <c r="F46" s="318">
        <f>IF(F5&lt;=IN!$C$47,F76,0)</f>
        <v>10163.409150643083</v>
      </c>
      <c r="G46" s="318">
        <f>IF(G5&lt;=IN!$C$47,G76,0)</f>
        <v>10211.430683020963</v>
      </c>
      <c r="H46" s="318">
        <f>IF(H5&lt;=IN!$C$47,H76,0)</f>
        <v>10259.939669902999</v>
      </c>
      <c r="I46" s="318">
        <f>IF(I5&lt;=IN!$C$47,I76,0)</f>
        <v>10308.941130617826</v>
      </c>
      <c r="J46" s="318">
        <f>IF(J5&lt;=IN!$C$47,J76,0)</f>
        <v>9098.4401375830657</v>
      </c>
      <c r="K46" s="318">
        <f>IF(K5&lt;=IN!$C$47,K76,0)</f>
        <v>10408.441816894059</v>
      </c>
      <c r="L46" s="318">
        <f>IF(L5&lt;=IN!$C$47,L76,0)</f>
        <v>10458.951348919818</v>
      </c>
      <c r="M46" s="318">
        <f>IF(M5&lt;=IN!$C$47,M76,0)</f>
        <v>10509.973968905899</v>
      </c>
      <c r="N46" s="318">
        <f>IF(N5&lt;=IN!$C$47,N76,0)</f>
        <v>10561.514967584722</v>
      </c>
      <c r="O46" s="318">
        <f>IF(O5&lt;=IN!$C$47,O76,0)</f>
        <v>10613.579691793067</v>
      </c>
      <c r="P46" s="318">
        <f>IF(P5&lt;=IN!$C$47,P76,0)</f>
        <v>9406.1735450970864</v>
      </c>
      <c r="Q46" s="318">
        <f>IF(Q5&lt;=IN!$C$47,Q76,0)</f>
        <v>10719.30198842481</v>
      </c>
      <c r="R46" s="318">
        <f>IF(R5&lt;=IN!$C$47,R76,0)</f>
        <v>10772.970540706265</v>
      </c>
      <c r="S46" s="318">
        <f>IF(S5&lt;=IN!$C$47,S76,0)</f>
        <v>10827.184779521429</v>
      </c>
      <c r="T46" s="318">
        <f>IF(T5&lt;=IN!$C$47,T76,0)</f>
        <v>10881.95034175585</v>
      </c>
      <c r="U46" s="318">
        <f>IF(U5&lt;=IN!$C$47,U76,0)</f>
        <v>10937.27292426432</v>
      </c>
      <c r="V46" s="318">
        <f>IF(V5&lt;=IN!$C$47,V76,0)</f>
        <v>10993.158284542653</v>
      </c>
      <c r="W46" s="318">
        <f>IF(W5&lt;=IN!$C$47,W76,0)</f>
        <v>11049.612241407407</v>
      </c>
      <c r="X46" s="318">
        <f>IF(X5&lt;=IN!$C$47,X76,0)</f>
        <v>11106.640675684142</v>
      </c>
      <c r="Y46" s="318">
        <f>IF(Y5&lt;=IN!$C$47,Y76,0)</f>
        <v>11164.249530903833</v>
      </c>
      <c r="Z46" s="318">
        <f>IF(Z5&lt;=IN!$C$47,Z76,0)</f>
        <v>0</v>
      </c>
      <c r="AA46" s="318">
        <f>IF(AA5&lt;=IN!$C$47,AA76,0)</f>
        <v>0</v>
      </c>
      <c r="AB46" s="318">
        <f>IF(AB5&lt;=IN!$C$47,AB76,0)</f>
        <v>0</v>
      </c>
      <c r="AC46" s="318">
        <f>IF(AC5&lt;=IN!$C$47,AC76,0)</f>
        <v>0</v>
      </c>
      <c r="AD46" s="318">
        <f>IF(AD5&lt;=IN!$C$47,AD76,0)</f>
        <v>0</v>
      </c>
      <c r="AE46" s="318">
        <f>IF(AE5&lt;=IN!$C$47,AE76,0)</f>
        <v>0</v>
      </c>
      <c r="AF46" s="318">
        <f>IF(AF5&lt;=IN!$C$47,AF76,0)</f>
        <v>0</v>
      </c>
      <c r="AG46" s="318">
        <f>IF(AG5&lt;=IN!$C$47,AG76,0)</f>
        <v>0</v>
      </c>
    </row>
    <row r="47" spans="2:33" x14ac:dyDescent="0.25">
      <c r="B47" s="196" t="s">
        <v>229</v>
      </c>
      <c r="C47" s="191">
        <f>C43-SUM(C45:C46)</f>
        <v>-227869.43896740716</v>
      </c>
      <c r="D47" s="191">
        <f>D43-SUM(D45:D46)</f>
        <v>117079.09462830331</v>
      </c>
      <c r="E47" s="191">
        <f>E43-SUM(E45:E46)</f>
        <v>119667.09701934502</v>
      </c>
      <c r="F47" s="191">
        <f>F43-SUM(F45:F46)</f>
        <v>122313.27997617767</v>
      </c>
      <c r="G47" s="191">
        <f t="shared" ref="G47:AB47" si="17">G43-SUM(G45:G46)</f>
        <v>125019.1255498729</v>
      </c>
      <c r="H47" s="191">
        <f t="shared" si="17"/>
        <v>127786.15571006668</v>
      </c>
      <c r="I47" s="191">
        <f t="shared" si="17"/>
        <v>130615.93344400347</v>
      </c>
      <c r="J47" s="191">
        <f t="shared" si="17"/>
        <v>111970.0638860917</v>
      </c>
      <c r="K47" s="191">
        <f t="shared" si="17"/>
        <v>136470.19547881579</v>
      </c>
      <c r="L47" s="191">
        <f t="shared" si="17"/>
        <v>139498.02116588224</v>
      </c>
      <c r="M47" s="191">
        <f t="shared" si="17"/>
        <v>142595.27961849212</v>
      </c>
      <c r="N47" s="191">
        <f t="shared" si="17"/>
        <v>145763.75649566791</v>
      </c>
      <c r="O47" s="191">
        <f t="shared" si="17"/>
        <v>149005.28573957877</v>
      </c>
      <c r="P47" s="191">
        <f t="shared" si="17"/>
        <v>130781.75090684139</v>
      </c>
      <c r="Q47" s="191">
        <f t="shared" si="17"/>
        <v>155715.08653679729</v>
      </c>
      <c r="R47" s="191">
        <f t="shared" si="17"/>
        <v>159187.27955779605</v>
      </c>
      <c r="S47" s="191">
        <f t="shared" si="17"/>
        <v>162740.3707325455</v>
      </c>
      <c r="T47" s="191">
        <f t="shared" si="17"/>
        <v>166376.45614361184</v>
      </c>
      <c r="U47" s="191">
        <f t="shared" si="17"/>
        <v>170097.68872019323</v>
      </c>
      <c r="V47" s="191">
        <f t="shared" si="17"/>
        <v>173906.27980731506</v>
      </c>
      <c r="W47" s="191">
        <f>W43-SUM(W45:W46)</f>
        <v>178117.97672466421</v>
      </c>
      <c r="X47" s="191">
        <f t="shared" si="17"/>
        <v>182125.53200830647</v>
      </c>
      <c r="Y47" s="191">
        <f t="shared" si="17"/>
        <v>186227.62039950339</v>
      </c>
      <c r="Z47" s="191">
        <f t="shared" si="17"/>
        <v>0</v>
      </c>
      <c r="AA47" s="191">
        <f t="shared" si="17"/>
        <v>0</v>
      </c>
      <c r="AB47" s="191">
        <f t="shared" si="17"/>
        <v>0</v>
      </c>
      <c r="AC47" s="191">
        <f>AC43-SUM(AC45:AC46)</f>
        <v>0</v>
      </c>
      <c r="AD47" s="191">
        <f>AD43-SUM(AD45:AD46)</f>
        <v>0</v>
      </c>
      <c r="AE47" s="191">
        <f>AE43-SUM(AE45:AE46)</f>
        <v>0</v>
      </c>
      <c r="AF47" s="191">
        <f>AF43-SUM(AF45:AF46)</f>
        <v>0</v>
      </c>
      <c r="AG47" s="402"/>
    </row>
    <row r="48" spans="2:33" x14ac:dyDescent="0.25">
      <c r="B48" s="386" t="s">
        <v>230</v>
      </c>
      <c r="C48" s="387">
        <f>IF(C5&lt;=IN!$C$47,'CE CC opz2'!C47/'CE CC opz2'!C15,"")</f>
        <v>-0.27992134527283363</v>
      </c>
      <c r="D48" s="387">
        <f>IF(D5&lt;=IN!$C$47,'CE CC opz2'!D47/'CE CC opz2'!D15,"")</f>
        <v>0.14271192243652572</v>
      </c>
      <c r="E48" s="387">
        <f>IF(E5&lt;=IN!$C$47,'CE CC opz2'!E47/'CE CC opz2'!E15,"")</f>
        <v>0.14473047123495528</v>
      </c>
      <c r="F48" s="387">
        <f>IF(F5&lt;=IN!$C$47,'CE CC opz2'!F47/'CE CC opz2'!F15,"")</f>
        <v>0.14676970552994695</v>
      </c>
      <c r="G48" s="387">
        <f>IF(G5&lt;=IN!$C$47,'CE CC opz2'!G47/'CE CC opz2'!G15,"")</f>
        <v>0.14882985161489448</v>
      </c>
      <c r="H48" s="387">
        <f>IF(H5&lt;=IN!$C$47,'CE CC opz2'!H47/'CE CC opz2'!H15,"")</f>
        <v>0.15091113759547173</v>
      </c>
      <c r="I48" s="387">
        <f>IF(I5&lt;=IN!$C$47,'CE CC opz2'!I47/'CE CC opz2'!I15,"")</f>
        <v>0.15301379337777013</v>
      </c>
      <c r="J48" s="387">
        <f>IF(J5&lt;=IN!$C$47,'CE CC opz2'!J47/'CE CC opz2'!J15,"")</f>
        <v>0.13010867448862889</v>
      </c>
      <c r="K48" s="387">
        <f>IF(K5&lt;=IN!$C$47,'CE CC opz2'!K47/'CE CC opz2'!K15,"")</f>
        <v>0.15728414289948472</v>
      </c>
      <c r="L48" s="387">
        <f>IF(L5&lt;=IN!$C$47,'CE CC opz2'!L47/'CE CC opz2'!L15,"")</f>
        <v>0.15945230533981111</v>
      </c>
      <c r="M48" s="387">
        <f>IF(M5&lt;=IN!$C$47,'CE CC opz2'!M47/'CE CC opz2'!M15,"")</f>
        <v>0.16164277495674118</v>
      </c>
      <c r="N48" s="387">
        <f>IF(N5&lt;=IN!$C$47,'CE CC opz2'!N47/'CE CC opz2'!N15,"")</f>
        <v>0.16385579046431359</v>
      </c>
      <c r="O48" s="387">
        <f>IF(O5&lt;=IN!$C$47,'CE CC opz2'!O47/'CE CC opz2'!O15,"")</f>
        <v>0.16609159229630494</v>
      </c>
      <c r="P48" s="387">
        <f>IF(P5&lt;=IN!$C$47,'CE CC opz2'!P47/'CE CC opz2'!P15,"")</f>
        <v>0.14454378906049525</v>
      </c>
      <c r="Q48" s="387">
        <f>IF(Q5&lt;=IN!$C$47,'CE CC opz2'!Q47/'CE CC opz2'!Q15,"")</f>
        <v>0.17063252517771879</v>
      </c>
      <c r="R48" s="387">
        <f>IF(R5&lt;=IN!$C$47,'CE CC opz2'!R47/'CE CC opz2'!R15,"")</f>
        <v>0.17293814555771161</v>
      </c>
      <c r="S48" s="387">
        <f>IF(S5&lt;=IN!$C$47,'CE CC opz2'!S47/'CE CC opz2'!S15,"")</f>
        <v>0.17526753089179192</v>
      </c>
      <c r="T48" s="387">
        <f>IF(T5&lt;=IN!$C$47,'CE CC opz2'!T47/'CE CC opz2'!T15,"")</f>
        <v>0.17762092998237716</v>
      </c>
      <c r="U48" s="387">
        <f>IF(U5&lt;=IN!$C$47,'CE CC opz2'!U47/'CE CC opz2'!U15,"")</f>
        <v>0.17999859325737147</v>
      </c>
      <c r="V48" s="387">
        <f>IF(V5&lt;=IN!$C$47,'CE CC opz2'!V47/'CE CC opz2'!V15,"")</f>
        <v>0.18240077275344321</v>
      </c>
      <c r="W48" s="387">
        <f>IF(W5&lt;=IN!$C$47,'CE CC opz2'!W47/'CE CC opz2'!W15,"")</f>
        <v>0.18515358024543513</v>
      </c>
      <c r="X48" s="387">
        <f>IF(X5&lt;=IN!$C$47,'CE CC opz2'!X47/'CE CC opz2'!X15,"")</f>
        <v>0.18762052595953893</v>
      </c>
      <c r="Y48" s="387">
        <f>IF(Y5&lt;=IN!$C$47,'CE CC opz2'!Y47/'CE CC opz2'!Y15,"")</f>
        <v>0.19011261310272579</v>
      </c>
      <c r="Z48" s="387" t="str">
        <f>IF(Z5&lt;=IN!$C$47,'CE CC opz2'!Z47/'CE CC opz2'!Z15,"")</f>
        <v/>
      </c>
      <c r="AA48" s="387" t="str">
        <f>IF(AA5&lt;=IN!$C$47,'CE CC opz2'!AA47/'CE CC opz2'!AA15,"")</f>
        <v/>
      </c>
      <c r="AB48" s="387" t="str">
        <f>IF(AB5&lt;=IN!$C$47,'CE CC opz2'!AB47/'CE CC opz2'!AB15,"")</f>
        <v/>
      </c>
      <c r="AC48" s="387" t="str">
        <f>IF(AC5&lt;=IN!$C$47,'CE CC opz2'!AC47/'CE CC opz2'!AC15,"")</f>
        <v/>
      </c>
      <c r="AD48" s="387" t="str">
        <f>IF(AD5&lt;=IN!$C$47,'CE CC opz2'!AD47/'CE CC opz2'!AD15,"")</f>
        <v/>
      </c>
      <c r="AE48" s="387" t="str">
        <f>IF(AE5&lt;=IN!$C$47,'CE CC opz2'!AE47/'CE CC opz2'!AE15,"")</f>
        <v/>
      </c>
      <c r="AF48" s="387" t="str">
        <f>IF(AF5&lt;=IN!$C$47,'CE CC opz2'!AF47/'CE CC opz2'!AF15,"")</f>
        <v/>
      </c>
      <c r="AG48" s="387"/>
    </row>
    <row r="49" spans="2:33" hidden="1" x14ac:dyDescent="0.25">
      <c r="B49" s="344"/>
      <c r="C49" s="346"/>
      <c r="D49" s="346"/>
      <c r="E49" s="346"/>
      <c r="F49" s="346"/>
      <c r="G49" s="346"/>
      <c r="H49" s="346"/>
      <c r="I49" s="346"/>
      <c r="J49" s="346"/>
      <c r="K49" s="346"/>
      <c r="L49" s="346"/>
      <c r="M49" s="346"/>
      <c r="N49" s="346"/>
      <c r="O49" s="346"/>
      <c r="P49" s="346"/>
      <c r="Q49" s="346"/>
      <c r="R49" s="346"/>
      <c r="S49" s="346"/>
      <c r="T49" s="346"/>
      <c r="U49" s="346"/>
      <c r="V49" s="346"/>
      <c r="W49" s="346"/>
      <c r="X49" s="346"/>
      <c r="Y49" s="346"/>
      <c r="Z49" s="346"/>
      <c r="AA49" s="346"/>
      <c r="AB49" s="346"/>
      <c r="AC49" s="346"/>
      <c r="AD49" s="346"/>
      <c r="AE49" s="346"/>
      <c r="AF49" s="346"/>
      <c r="AG49" s="346"/>
    </row>
    <row r="50" spans="2:33" hidden="1" x14ac:dyDescent="0.25">
      <c r="B50" s="412"/>
      <c r="C50" s="346"/>
      <c r="D50" s="412"/>
      <c r="E50" s="346"/>
      <c r="F50" s="346"/>
      <c r="G50" s="346"/>
      <c r="H50" s="346"/>
      <c r="I50" s="346"/>
      <c r="J50" s="346"/>
      <c r="K50" s="346"/>
      <c r="L50" s="346"/>
      <c r="M50" s="346"/>
      <c r="N50" s="346"/>
      <c r="O50" s="346"/>
      <c r="P50" s="346"/>
      <c r="Q50" s="346"/>
      <c r="R50" s="346"/>
      <c r="S50" s="346"/>
      <c r="T50" s="346"/>
      <c r="U50" s="346"/>
      <c r="V50" s="346"/>
      <c r="W50" s="346"/>
      <c r="X50" s="346"/>
      <c r="Y50" s="346"/>
      <c r="Z50" s="346"/>
      <c r="AA50" s="346"/>
      <c r="AB50" s="346"/>
      <c r="AC50" s="346"/>
      <c r="AD50" s="346"/>
      <c r="AE50" s="346"/>
      <c r="AF50" s="346"/>
      <c r="AG50" s="346"/>
    </row>
    <row r="51" spans="2:33" hidden="1" outlineLevel="1" x14ac:dyDescent="0.25">
      <c r="B51" s="344" t="s">
        <v>231</v>
      </c>
      <c r="C51" s="346" t="s">
        <v>232</v>
      </c>
      <c r="D51" s="346"/>
      <c r="E51" s="346"/>
      <c r="F51" s="346"/>
      <c r="G51" s="346"/>
      <c r="H51" s="346"/>
      <c r="I51" s="346"/>
      <c r="J51" s="346"/>
      <c r="K51" s="346"/>
      <c r="L51" s="346"/>
      <c r="M51" s="346"/>
      <c r="N51" s="346"/>
      <c r="O51" s="346"/>
      <c r="P51" s="346"/>
      <c r="Q51" s="346"/>
      <c r="R51" s="346"/>
      <c r="S51" s="346"/>
      <c r="T51" s="346"/>
      <c r="U51" s="346"/>
      <c r="V51" s="346"/>
      <c r="W51" s="346"/>
      <c r="X51" s="346"/>
      <c r="Y51" s="346"/>
      <c r="Z51" s="346"/>
      <c r="AA51" s="346"/>
      <c r="AB51" s="346"/>
      <c r="AC51" s="346"/>
      <c r="AD51" s="346"/>
      <c r="AE51" s="346"/>
      <c r="AF51" s="346"/>
      <c r="AG51" s="197"/>
    </row>
    <row r="52" spans="2:33" hidden="1" outlineLevel="1" x14ac:dyDescent="0.25">
      <c r="B52" s="405" t="s">
        <v>233</v>
      </c>
      <c r="C52" s="406">
        <f>IF(C5&lt;=IN!$C$47,1,0)</f>
        <v>1</v>
      </c>
      <c r="D52" s="406">
        <f>IF(D5&lt;=IN!$C$47,1,0)</f>
        <v>1</v>
      </c>
      <c r="E52" s="406">
        <f>IF(E5&lt;=IN!$C$47,1,0)</f>
        <v>1</v>
      </c>
      <c r="F52" s="406">
        <f>IF(F5&lt;=IN!$C$47,1,0)</f>
        <v>1</v>
      </c>
      <c r="G52" s="406">
        <f>IF(G5&lt;=IN!$C$47,1,0)</f>
        <v>1</v>
      </c>
      <c r="H52" s="406">
        <f>IF(H5&lt;=IN!$C$47,1,0)</f>
        <v>1</v>
      </c>
      <c r="I52" s="406">
        <f>IF(I5&lt;=IN!$C$47,1,0)</f>
        <v>1</v>
      </c>
      <c r="J52" s="406">
        <f>IF(J5&lt;=IN!$C$47,1,0)</f>
        <v>1</v>
      </c>
      <c r="K52" s="406">
        <f>IF(K5&lt;=IN!$C$47,1,0)</f>
        <v>1</v>
      </c>
      <c r="L52" s="406">
        <f>IF(L5&lt;=IN!$C$47,1,0)</f>
        <v>1</v>
      </c>
      <c r="M52" s="406">
        <f>IF(M5&lt;=IN!$C$47,1,0)</f>
        <v>1</v>
      </c>
      <c r="N52" s="406">
        <f>IF(N5&lt;=IN!$C$47,1,0)</f>
        <v>1</v>
      </c>
      <c r="O52" s="406">
        <f>IF(O5&lt;=IN!$C$47,1,0)</f>
        <v>1</v>
      </c>
      <c r="P52" s="406">
        <f>IF(P5&lt;=IN!$C$47,1,0)</f>
        <v>1</v>
      </c>
      <c r="Q52" s="406">
        <f>IF(Q5&lt;=IN!$C$47,1,0)</f>
        <v>1</v>
      </c>
      <c r="R52" s="406">
        <f>IF(R5&lt;=IN!$C$47,1,0)</f>
        <v>1</v>
      </c>
      <c r="S52" s="406">
        <f>IF(S5&lt;=IN!$C$47,1,0)</f>
        <v>1</v>
      </c>
      <c r="T52" s="406">
        <f>IF(T5&lt;=IN!$C$47,1,0)</f>
        <v>1</v>
      </c>
      <c r="U52" s="406">
        <f>IF(U5&lt;=IN!$C$47,1,0)</f>
        <v>1</v>
      </c>
      <c r="V52" s="406">
        <f>IF(V5&lt;=IN!$C$47,1,0)</f>
        <v>1</v>
      </c>
      <c r="W52" s="406">
        <f>IF(W5&lt;=IN!$C$47,1,0)</f>
        <v>1</v>
      </c>
      <c r="X52" s="406">
        <f>IF(X5&lt;=IN!$C$47,1,0)</f>
        <v>1</v>
      </c>
      <c r="Y52" s="406">
        <f>IF(Y5&lt;=IN!$C$47,1,0)</f>
        <v>1</v>
      </c>
      <c r="Z52" s="406">
        <f>IF(Z5&lt;=IN!$C$47,1,0)</f>
        <v>0</v>
      </c>
      <c r="AA52" s="406">
        <f>IF(AA5&lt;=IN!$C$47,1,0)</f>
        <v>0</v>
      </c>
      <c r="AB52" s="406">
        <f>IF(AB5&lt;=IN!$C$47,1,0)</f>
        <v>0</v>
      </c>
      <c r="AC52" s="406">
        <f>IF(AC5&lt;=IN!$C$47,1,0)</f>
        <v>0</v>
      </c>
      <c r="AD52" s="406">
        <f>IF(AD5&lt;=IN!$C$47,1,0)</f>
        <v>0</v>
      </c>
      <c r="AE52" s="406">
        <f>IF(AE5&lt;=IN!$C$47,1,0)</f>
        <v>0</v>
      </c>
      <c r="AF52" s="406">
        <f>IF(AF5&lt;=IN!$C$47,1,0)</f>
        <v>0</v>
      </c>
      <c r="AG52" s="406">
        <f>IF(AG5&lt;=IN!$C$47,1,0)</f>
        <v>0</v>
      </c>
    </row>
    <row r="53" spans="2:33" hidden="1" outlineLevel="1" x14ac:dyDescent="0.25">
      <c r="B53" s="407" t="s">
        <v>234</v>
      </c>
      <c r="C53" s="406"/>
      <c r="D53" s="406"/>
      <c r="E53" s="406"/>
      <c r="F53" s="406"/>
      <c r="G53" s="406"/>
      <c r="H53" s="406"/>
      <c r="I53" s="406"/>
      <c r="J53" s="406"/>
      <c r="K53" s="406"/>
      <c r="L53" s="406"/>
      <c r="M53" s="406"/>
      <c r="N53" s="406"/>
      <c r="O53" s="406"/>
      <c r="P53" s="406"/>
      <c r="Q53" s="406"/>
      <c r="R53" s="406"/>
      <c r="S53" s="406"/>
      <c r="T53" s="406"/>
      <c r="U53" s="406"/>
      <c r="V53" s="406"/>
      <c r="W53" s="406"/>
      <c r="X53" s="406"/>
      <c r="Y53" s="406"/>
      <c r="Z53" s="406"/>
      <c r="AA53" s="406"/>
      <c r="AB53" s="406"/>
      <c r="AC53" s="406"/>
      <c r="AD53" s="406"/>
      <c r="AE53" s="406"/>
      <c r="AF53" s="406"/>
      <c r="AG53" s="406"/>
    </row>
    <row r="54" spans="2:33" hidden="1" outlineLevel="1" x14ac:dyDescent="0.25">
      <c r="B54" s="347" t="s">
        <v>235</v>
      </c>
      <c r="C54" s="411">
        <v>0.3</v>
      </c>
      <c r="D54" s="99"/>
      <c r="E54" s="99"/>
      <c r="F54" s="113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99"/>
    </row>
    <row r="55" spans="2:33" hidden="1" outlineLevel="1" x14ac:dyDescent="0.25">
      <c r="B55" s="347" t="str">
        <f>CONCATENATE(C54*100,"% EBITDA")</f>
        <v>30% EBITDA</v>
      </c>
      <c r="C55" s="113">
        <f>$C$54*C$37</f>
        <v>2440.3742769946111</v>
      </c>
      <c r="D55" s="113">
        <f>$C$54*D$37</f>
        <v>141888.38213895459</v>
      </c>
      <c r="E55" s="113">
        <f>$C$54*E$37</f>
        <v>142218.85959854382</v>
      </c>
      <c r="F55" s="113">
        <f>$C$54*F$37</f>
        <v>142552.69153325871</v>
      </c>
      <c r="G55" s="113">
        <f t="shared" ref="G55:AG55" si="18">$C$54*G$37</f>
        <v>142889.91248186107</v>
      </c>
      <c r="H55" s="113">
        <f t="shared" si="18"/>
        <v>143230.55734838074</v>
      </c>
      <c r="I55" s="113">
        <f t="shared" si="18"/>
        <v>143574.6614061654</v>
      </c>
      <c r="J55" s="113">
        <f t="shared" si="18"/>
        <v>134922.26030197978</v>
      </c>
      <c r="K55" s="113">
        <f t="shared" si="18"/>
        <v>144273.39006015303</v>
      </c>
      <c r="L55" s="113">
        <f t="shared" si="18"/>
        <v>144628.08708677697</v>
      </c>
      <c r="M55" s="113">
        <f t="shared" si="18"/>
        <v>144986.38817395334</v>
      </c>
      <c r="N55" s="113">
        <f t="shared" si="18"/>
        <v>145348.33050409349</v>
      </c>
      <c r="O55" s="113">
        <f t="shared" si="18"/>
        <v>145713.95165426884</v>
      </c>
      <c r="P55" s="113">
        <f t="shared" si="18"/>
        <v>137083.28960061443</v>
      </c>
      <c r="Q55" s="113">
        <f t="shared" si="18"/>
        <v>146456.38272278538</v>
      </c>
      <c r="R55" s="113">
        <f t="shared" si="18"/>
        <v>146833.26980846701</v>
      </c>
      <c r="S55" s="113">
        <f t="shared" si="18"/>
        <v>147213.99005794042</v>
      </c>
      <c r="T55" s="113">
        <f t="shared" si="18"/>
        <v>147598.58308870217</v>
      </c>
      <c r="U55" s="113">
        <f t="shared" si="18"/>
        <v>147987.08894014085</v>
      </c>
      <c r="V55" s="113">
        <f t="shared" si="18"/>
        <v>148379.54807827089</v>
      </c>
      <c r="W55" s="113">
        <f t="shared" si="18"/>
        <v>148899.74190553813</v>
      </c>
      <c r="X55" s="113">
        <f t="shared" si="18"/>
        <v>149307.08786465766</v>
      </c>
      <c r="Y55" s="113">
        <f t="shared" si="18"/>
        <v>149718.57968765547</v>
      </c>
      <c r="Z55" s="113">
        <f t="shared" si="18"/>
        <v>0</v>
      </c>
      <c r="AA55" s="113">
        <f t="shared" si="18"/>
        <v>0</v>
      </c>
      <c r="AB55" s="113">
        <f t="shared" si="18"/>
        <v>0</v>
      </c>
      <c r="AC55" s="113">
        <f t="shared" si="18"/>
        <v>0</v>
      </c>
      <c r="AD55" s="113">
        <f t="shared" si="18"/>
        <v>0</v>
      </c>
      <c r="AE55" s="113">
        <f t="shared" si="18"/>
        <v>0</v>
      </c>
      <c r="AF55" s="113">
        <f t="shared" si="18"/>
        <v>0</v>
      </c>
      <c r="AG55" s="113">
        <f t="shared" si="18"/>
        <v>0</v>
      </c>
    </row>
    <row r="56" spans="2:33" hidden="1" outlineLevel="1" x14ac:dyDescent="0.25">
      <c r="B56" s="347" t="s">
        <v>236</v>
      </c>
      <c r="C56" s="113">
        <f>C42</f>
        <v>72843.084820291304</v>
      </c>
      <c r="D56" s="113">
        <f>D42</f>
        <v>70541.695812233083</v>
      </c>
      <c r="E56" s="113">
        <f>E42</f>
        <v>68176.098050850051</v>
      </c>
      <c r="F56" s="113">
        <f>F42</f>
        <v>65744.500111924412</v>
      </c>
      <c r="G56" s="113">
        <f>G42</f>
        <v>63245.060590502755</v>
      </c>
      <c r="H56" s="113">
        <f t="shared" ref="H56:AG56" si="19">H42</f>
        <v>60675.886706433434</v>
      </c>
      <c r="I56" s="113">
        <f t="shared" si="19"/>
        <v>58035.032870998577</v>
      </c>
      <c r="J56" s="113">
        <f t="shared" si="19"/>
        <v>55320.499213555093</v>
      </c>
      <c r="K56" s="113">
        <f t="shared" si="19"/>
        <v>52530.230067068929</v>
      </c>
      <c r="L56" s="113">
        <f t="shared" si="19"/>
        <v>49662.112411395807</v>
      </c>
      <c r="M56" s="113">
        <f t="shared" si="19"/>
        <v>46713.974273129403</v>
      </c>
      <c r="N56" s="113">
        <f t="shared" si="19"/>
        <v>43683.583080805365</v>
      </c>
      <c r="O56" s="113">
        <f t="shared" si="19"/>
        <v>40568.643974215483</v>
      </c>
      <c r="P56" s="113">
        <f t="shared" si="19"/>
        <v>37366.798066551746</v>
      </c>
      <c r="Q56" s="113">
        <f t="shared" si="19"/>
        <v>34075.620658064188</v>
      </c>
      <c r="R56" s="113">
        <f t="shared" si="19"/>
        <v>30692.619399879834</v>
      </c>
      <c r="S56" s="113">
        <f t="shared" si="19"/>
        <v>27215.232406592135</v>
      </c>
      <c r="T56" s="113">
        <f t="shared" si="19"/>
        <v>23640.826316191706</v>
      </c>
      <c r="U56" s="113">
        <f t="shared" si="19"/>
        <v>19966.694295869103</v>
      </c>
      <c r="V56" s="113">
        <f t="shared" si="19"/>
        <v>16190.053992179503</v>
      </c>
      <c r="W56" s="113">
        <f t="shared" si="19"/>
        <v>12308.04542401696</v>
      </c>
      <c r="X56" s="113">
        <f t="shared" si="19"/>
        <v>8317.7288168026807</v>
      </c>
      <c r="Y56" s="113">
        <f t="shared" si="19"/>
        <v>4216.0823762471255</v>
      </c>
      <c r="Z56" s="113">
        <f t="shared" si="19"/>
        <v>0</v>
      </c>
      <c r="AA56" s="113">
        <f t="shared" si="19"/>
        <v>0</v>
      </c>
      <c r="AB56" s="113">
        <f t="shared" si="19"/>
        <v>0</v>
      </c>
      <c r="AC56" s="113">
        <f t="shared" si="19"/>
        <v>0</v>
      </c>
      <c r="AD56" s="113">
        <f t="shared" si="19"/>
        <v>0</v>
      </c>
      <c r="AE56" s="113">
        <f t="shared" si="19"/>
        <v>0</v>
      </c>
      <c r="AF56" s="113">
        <f t="shared" si="19"/>
        <v>0</v>
      </c>
      <c r="AG56" s="113">
        <f t="shared" si="19"/>
        <v>0</v>
      </c>
    </row>
    <row r="57" spans="2:33" hidden="1" outlineLevel="1" x14ac:dyDescent="0.25">
      <c r="B57" s="347"/>
      <c r="C57" s="393"/>
      <c r="D57" s="393"/>
      <c r="E57" s="393"/>
      <c r="F57" s="393"/>
      <c r="G57" s="393"/>
      <c r="H57" s="393"/>
      <c r="I57" s="393"/>
      <c r="J57" s="393"/>
      <c r="K57" s="393"/>
      <c r="L57" s="393"/>
      <c r="M57" s="393"/>
      <c r="N57" s="393"/>
      <c r="O57" s="393"/>
      <c r="P57" s="393"/>
      <c r="Q57" s="393"/>
      <c r="R57" s="393"/>
      <c r="S57" s="393"/>
      <c r="T57" s="393"/>
      <c r="U57" s="393"/>
      <c r="V57" s="393"/>
      <c r="W57" s="393"/>
      <c r="X57" s="393"/>
      <c r="Y57" s="393"/>
      <c r="Z57" s="393"/>
      <c r="AA57" s="393"/>
      <c r="AB57" s="393"/>
      <c r="AC57" s="393"/>
      <c r="AD57" s="393"/>
      <c r="AE57" s="393"/>
      <c r="AF57" s="393"/>
      <c r="AG57" s="393"/>
    </row>
    <row r="58" spans="2:33" hidden="1" outlineLevel="1" x14ac:dyDescent="0.25">
      <c r="B58" s="347" t="s">
        <v>237</v>
      </c>
      <c r="C58" s="113">
        <f>IF(C55&lt;0,C56,IF(C56&gt;C55,(C56-C55),0))</f>
        <v>70402.710543296693</v>
      </c>
      <c r="D58" s="113">
        <f>IF((C59+D55)&lt;0,D56,IF(D56&gt;(D55+C59),D56-(C59+D55),0))</f>
        <v>0</v>
      </c>
      <c r="E58" s="113">
        <f>IF((D59+E55)&lt;0,E56,IF(E56&gt;(E55+D59),E56-(D59+E55),0))</f>
        <v>0</v>
      </c>
      <c r="F58" s="113">
        <f>IF((E59+F55)&lt;0,F56,IF(F56&gt;(F55+E59),F56-(E59+F55),0))</f>
        <v>0</v>
      </c>
      <c r="G58" s="113">
        <f t="shared" ref="G58:AG58" si="20">IF((F59+G55)&lt;0,G56,IF(G56&gt;(G55+F59),G56-(F59+G55),0))</f>
        <v>0</v>
      </c>
      <c r="H58" s="113">
        <f t="shared" si="20"/>
        <v>0</v>
      </c>
      <c r="I58" s="113">
        <f t="shared" si="20"/>
        <v>0</v>
      </c>
      <c r="J58" s="113">
        <f t="shared" si="20"/>
        <v>0</v>
      </c>
      <c r="K58" s="113">
        <f t="shared" si="20"/>
        <v>0</v>
      </c>
      <c r="L58" s="113">
        <f t="shared" si="20"/>
        <v>0</v>
      </c>
      <c r="M58" s="113">
        <f t="shared" si="20"/>
        <v>0</v>
      </c>
      <c r="N58" s="113">
        <f t="shared" si="20"/>
        <v>0</v>
      </c>
      <c r="O58" s="113">
        <f t="shared" si="20"/>
        <v>0</v>
      </c>
      <c r="P58" s="113">
        <f t="shared" si="20"/>
        <v>0</v>
      </c>
      <c r="Q58" s="113">
        <f t="shared" si="20"/>
        <v>0</v>
      </c>
      <c r="R58" s="113">
        <f t="shared" si="20"/>
        <v>0</v>
      </c>
      <c r="S58" s="113">
        <f t="shared" si="20"/>
        <v>0</v>
      </c>
      <c r="T58" s="113">
        <f t="shared" si="20"/>
        <v>0</v>
      </c>
      <c r="U58" s="113">
        <f t="shared" si="20"/>
        <v>0</v>
      </c>
      <c r="V58" s="113">
        <f t="shared" si="20"/>
        <v>0</v>
      </c>
      <c r="W58" s="113">
        <f t="shared" si="20"/>
        <v>0</v>
      </c>
      <c r="X58" s="113">
        <f t="shared" si="20"/>
        <v>0</v>
      </c>
      <c r="Y58" s="113">
        <f t="shared" si="20"/>
        <v>0</v>
      </c>
      <c r="Z58" s="113">
        <f t="shared" si="20"/>
        <v>0</v>
      </c>
      <c r="AA58" s="113">
        <f t="shared" si="20"/>
        <v>0</v>
      </c>
      <c r="AB58" s="113">
        <f t="shared" si="20"/>
        <v>0</v>
      </c>
      <c r="AC58" s="113">
        <f t="shared" si="20"/>
        <v>0</v>
      </c>
      <c r="AD58" s="113">
        <f t="shared" si="20"/>
        <v>0</v>
      </c>
      <c r="AE58" s="113">
        <f t="shared" si="20"/>
        <v>0</v>
      </c>
      <c r="AF58" s="113">
        <f t="shared" si="20"/>
        <v>0</v>
      </c>
      <c r="AG58" s="113">
        <f t="shared" si="20"/>
        <v>0</v>
      </c>
    </row>
    <row r="59" spans="2:33" hidden="1" outlineLevel="1" x14ac:dyDescent="0.25">
      <c r="B59" s="347" t="s">
        <v>238</v>
      </c>
      <c r="C59" s="113">
        <f>IF(C56&lt;C55,(C55-C56),0)*C52</f>
        <v>0</v>
      </c>
      <c r="D59" s="113">
        <f>IF(D56&lt;(C59+D55),(C59+D55)-D56,0)*D52</f>
        <v>71346.686326721509</v>
      </c>
      <c r="E59" s="113">
        <f>IF(E56&lt;(D59+E55),(D59+E55)-E56,0)*E52</f>
        <v>145389.44787441526</v>
      </c>
      <c r="F59" s="113">
        <f>IF(F56&lt;(E59+F55),(E59+F55)-F56,0)*F52</f>
        <v>222197.63929574954</v>
      </c>
      <c r="G59" s="113">
        <f t="shared" ref="G59:AG59" si="21">IF(G56&lt;(F59+G55),(F59+G55)-G56,0)*G52</f>
        <v>301842.49118710787</v>
      </c>
      <c r="H59" s="113">
        <f t="shared" si="21"/>
        <v>384397.16182905517</v>
      </c>
      <c r="I59" s="113">
        <f t="shared" si="21"/>
        <v>469936.7903642219</v>
      </c>
      <c r="J59" s="113">
        <f t="shared" si="21"/>
        <v>549538.5514526465</v>
      </c>
      <c r="K59" s="113">
        <f t="shared" si="21"/>
        <v>641281.71144573065</v>
      </c>
      <c r="L59" s="113">
        <f t="shared" si="21"/>
        <v>736247.68612111185</v>
      </c>
      <c r="M59" s="113">
        <f t="shared" si="21"/>
        <v>834520.10002193577</v>
      </c>
      <c r="N59" s="113">
        <f t="shared" si="21"/>
        <v>936184.84744522395</v>
      </c>
      <c r="O59" s="113">
        <f t="shared" si="21"/>
        <v>1041330.1551252773</v>
      </c>
      <c r="P59" s="113">
        <f t="shared" si="21"/>
        <v>1141046.64665934</v>
      </c>
      <c r="Q59" s="113">
        <f t="shared" si="21"/>
        <v>1253427.4087240612</v>
      </c>
      <c r="R59" s="113">
        <f t="shared" si="21"/>
        <v>1369568.0591326484</v>
      </c>
      <c r="S59" s="113">
        <f t="shared" si="21"/>
        <v>1489566.8167839965</v>
      </c>
      <c r="T59" s="113">
        <f t="shared" si="21"/>
        <v>1613524.573556507</v>
      </c>
      <c r="U59" s="113">
        <f t="shared" si="21"/>
        <v>1741544.9682007786</v>
      </c>
      <c r="V59" s="113">
        <f t="shared" si="21"/>
        <v>1873734.46228687</v>
      </c>
      <c r="W59" s="113">
        <f t="shared" si="21"/>
        <v>2010326.1587683912</v>
      </c>
      <c r="X59" s="113">
        <f t="shared" si="21"/>
        <v>2151315.5178162465</v>
      </c>
      <c r="Y59" s="113">
        <f t="shared" si="21"/>
        <v>2296818.0151276547</v>
      </c>
      <c r="Z59" s="113">
        <f t="shared" si="21"/>
        <v>0</v>
      </c>
      <c r="AA59" s="113">
        <f t="shared" si="21"/>
        <v>0</v>
      </c>
      <c r="AB59" s="113">
        <f t="shared" si="21"/>
        <v>0</v>
      </c>
      <c r="AC59" s="113">
        <f t="shared" si="21"/>
        <v>0</v>
      </c>
      <c r="AD59" s="113">
        <f t="shared" si="21"/>
        <v>0</v>
      </c>
      <c r="AE59" s="113">
        <f t="shared" si="21"/>
        <v>0</v>
      </c>
      <c r="AF59" s="113">
        <f t="shared" si="21"/>
        <v>0</v>
      </c>
      <c r="AG59" s="113">
        <f t="shared" si="21"/>
        <v>0</v>
      </c>
    </row>
    <row r="60" spans="2:33" hidden="1" outlineLevel="1" x14ac:dyDescent="0.25">
      <c r="B60" s="347" t="s">
        <v>239</v>
      </c>
      <c r="C60" s="113">
        <f>IF((C58-C59)&gt;0,(C58-C59),0)</f>
        <v>70402.710543296693</v>
      </c>
      <c r="D60" s="113">
        <f>IF((D58-D59)&gt;0,(D58-D59),0)</f>
        <v>0</v>
      </c>
      <c r="E60" s="113">
        <f>IF((E58-E59)&gt;0,(E58-E59),0)</f>
        <v>0</v>
      </c>
      <c r="F60" s="113">
        <f>IF((F58-F59)&gt;0,(F58-F59),0)</f>
        <v>0</v>
      </c>
      <c r="G60" s="113">
        <f t="shared" ref="G60:AG60" si="22">IF((G58-G59)&gt;0,(G58-G59),0)</f>
        <v>0</v>
      </c>
      <c r="H60" s="113">
        <f t="shared" si="22"/>
        <v>0</v>
      </c>
      <c r="I60" s="113">
        <f t="shared" si="22"/>
        <v>0</v>
      </c>
      <c r="J60" s="113">
        <f t="shared" si="22"/>
        <v>0</v>
      </c>
      <c r="K60" s="113">
        <f t="shared" si="22"/>
        <v>0</v>
      </c>
      <c r="L60" s="113">
        <f t="shared" si="22"/>
        <v>0</v>
      </c>
      <c r="M60" s="113">
        <f t="shared" si="22"/>
        <v>0</v>
      </c>
      <c r="N60" s="113">
        <f t="shared" si="22"/>
        <v>0</v>
      </c>
      <c r="O60" s="113">
        <f t="shared" si="22"/>
        <v>0</v>
      </c>
      <c r="P60" s="113">
        <f t="shared" si="22"/>
        <v>0</v>
      </c>
      <c r="Q60" s="113">
        <f t="shared" si="22"/>
        <v>0</v>
      </c>
      <c r="R60" s="113">
        <f t="shared" si="22"/>
        <v>0</v>
      </c>
      <c r="S60" s="113">
        <f t="shared" si="22"/>
        <v>0</v>
      </c>
      <c r="T60" s="113">
        <f t="shared" si="22"/>
        <v>0</v>
      </c>
      <c r="U60" s="113">
        <f t="shared" si="22"/>
        <v>0</v>
      </c>
      <c r="V60" s="113">
        <f t="shared" si="22"/>
        <v>0</v>
      </c>
      <c r="W60" s="113">
        <f t="shared" si="22"/>
        <v>0</v>
      </c>
      <c r="X60" s="113">
        <f t="shared" si="22"/>
        <v>0</v>
      </c>
      <c r="Y60" s="113">
        <f t="shared" si="22"/>
        <v>0</v>
      </c>
      <c r="Z60" s="113">
        <f t="shared" si="22"/>
        <v>0</v>
      </c>
      <c r="AA60" s="113">
        <f t="shared" si="22"/>
        <v>0</v>
      </c>
      <c r="AB60" s="113">
        <f t="shared" si="22"/>
        <v>0</v>
      </c>
      <c r="AC60" s="113">
        <f t="shared" si="22"/>
        <v>0</v>
      </c>
      <c r="AD60" s="113">
        <f t="shared" si="22"/>
        <v>0</v>
      </c>
      <c r="AE60" s="113">
        <f t="shared" si="22"/>
        <v>0</v>
      </c>
      <c r="AF60" s="113">
        <f t="shared" si="22"/>
        <v>0</v>
      </c>
      <c r="AG60" s="113">
        <f t="shared" si="22"/>
        <v>0</v>
      </c>
    </row>
    <row r="61" spans="2:33" hidden="1" outlineLevel="1" x14ac:dyDescent="0.25">
      <c r="B61" s="347" t="s">
        <v>240</v>
      </c>
      <c r="C61" s="113"/>
      <c r="D61" s="113">
        <f>MIN(C62,D59)</f>
        <v>70402.710543296693</v>
      </c>
      <c r="E61" s="113">
        <f>MIN(SUM($C$62:D$62),E59)</f>
        <v>0</v>
      </c>
      <c r="F61" s="113">
        <f>MIN(SUM($C$62:E$62),F59)</f>
        <v>0</v>
      </c>
      <c r="G61" s="113">
        <f>MIN(SUM($C$62:F$62),G59)</f>
        <v>0</v>
      </c>
      <c r="H61" s="113">
        <f>MIN(SUM($C$62:G$62),H59)</f>
        <v>0</v>
      </c>
      <c r="I61" s="113">
        <f>MIN(SUM($C$62:H$62),I59)</f>
        <v>0</v>
      </c>
      <c r="J61" s="113">
        <f>MIN(SUM($C$62:I$62),J59)</f>
        <v>0</v>
      </c>
      <c r="K61" s="113">
        <f>MIN(SUM($C$62:J$62),K59)</f>
        <v>0</v>
      </c>
      <c r="L61" s="113">
        <f>MIN(SUM($C$62:K$62),L59)</f>
        <v>0</v>
      </c>
      <c r="M61" s="113">
        <f>MIN(SUM($C$62:L$62),M59)</f>
        <v>0</v>
      </c>
      <c r="N61" s="113">
        <f>MIN(SUM($C$62:M$62),N59)</f>
        <v>0</v>
      </c>
      <c r="O61" s="113">
        <f>MIN(SUM($C$62:N$62),O59)</f>
        <v>0</v>
      </c>
      <c r="P61" s="113">
        <f>MIN(SUM($C$62:O$62),P59)</f>
        <v>0</v>
      </c>
      <c r="Q61" s="113">
        <f>MIN(SUM($C$62:P$62),Q59)</f>
        <v>0</v>
      </c>
      <c r="R61" s="113">
        <f>MIN(SUM($C$62:Q$62),R59)</f>
        <v>0</v>
      </c>
      <c r="S61" s="113">
        <f>MIN(SUM($C$62:R$62),S59)</f>
        <v>0</v>
      </c>
      <c r="T61" s="113">
        <f>MIN(SUM($C$62:S$62),T59)</f>
        <v>0</v>
      </c>
      <c r="U61" s="113">
        <f>MIN(SUM($C$62:T$62),U59)</f>
        <v>0</v>
      </c>
      <c r="V61" s="113">
        <f>MIN(SUM($C$62:U$62),V59)</f>
        <v>0</v>
      </c>
      <c r="W61" s="113">
        <f>MIN(SUM($C$62:V$62),W59)</f>
        <v>0</v>
      </c>
      <c r="X61" s="113">
        <f>MIN(SUM($C$62:W$62),X59)</f>
        <v>0</v>
      </c>
      <c r="Y61" s="113">
        <f>MIN(SUM($C$62:X$62),Y59)</f>
        <v>0</v>
      </c>
      <c r="Z61" s="113">
        <f>MIN(SUM($C$62:Y$62),Z59)</f>
        <v>0</v>
      </c>
      <c r="AA61" s="113">
        <f>MIN(SUM($C$62:Z$62),AA59)</f>
        <v>0</v>
      </c>
      <c r="AB61" s="113">
        <f>MIN(SUM($C$62:AA$62),AB59)</f>
        <v>0</v>
      </c>
      <c r="AC61" s="113">
        <f>MIN(SUM($C$62:AB$62),AC59)</f>
        <v>0</v>
      </c>
      <c r="AD61" s="113">
        <f>MIN(SUM($C$62:AC$62),AD59)</f>
        <v>0</v>
      </c>
      <c r="AE61" s="113">
        <f>MIN(SUM($C$62:AD$62),AE59)</f>
        <v>0</v>
      </c>
      <c r="AF61" s="113">
        <f>MIN(SUM($C$62:AE$62),AF59)</f>
        <v>0</v>
      </c>
      <c r="AG61" s="113">
        <f>MIN(SUM($C$62:AF$62),AG59)</f>
        <v>0</v>
      </c>
    </row>
    <row r="62" spans="2:33" hidden="1" outlineLevel="1" x14ac:dyDescent="0.25">
      <c r="B62" s="404" t="s">
        <v>241</v>
      </c>
      <c r="C62" s="113">
        <f>C60-C61</f>
        <v>70402.710543296693</v>
      </c>
      <c r="D62" s="113">
        <f>D60-D61</f>
        <v>-70402.710543296693</v>
      </c>
      <c r="E62" s="113">
        <f>E60-E61</f>
        <v>0</v>
      </c>
      <c r="F62" s="113">
        <f t="shared" ref="F62:AG62" si="23">F60-F61</f>
        <v>0</v>
      </c>
      <c r="G62" s="113">
        <f t="shared" si="23"/>
        <v>0</v>
      </c>
      <c r="H62" s="113">
        <f t="shared" si="23"/>
        <v>0</v>
      </c>
      <c r="I62" s="113">
        <f t="shared" si="23"/>
        <v>0</v>
      </c>
      <c r="J62" s="113">
        <f t="shared" si="23"/>
        <v>0</v>
      </c>
      <c r="K62" s="113">
        <f t="shared" si="23"/>
        <v>0</v>
      </c>
      <c r="L62" s="113">
        <f t="shared" si="23"/>
        <v>0</v>
      </c>
      <c r="M62" s="113">
        <f t="shared" si="23"/>
        <v>0</v>
      </c>
      <c r="N62" s="113">
        <f t="shared" si="23"/>
        <v>0</v>
      </c>
      <c r="O62" s="113">
        <f t="shared" si="23"/>
        <v>0</v>
      </c>
      <c r="P62" s="113">
        <f t="shared" si="23"/>
        <v>0</v>
      </c>
      <c r="Q62" s="113">
        <f t="shared" si="23"/>
        <v>0</v>
      </c>
      <c r="R62" s="113">
        <f t="shared" si="23"/>
        <v>0</v>
      </c>
      <c r="S62" s="113">
        <f t="shared" si="23"/>
        <v>0</v>
      </c>
      <c r="T62" s="113">
        <f t="shared" si="23"/>
        <v>0</v>
      </c>
      <c r="U62" s="113">
        <f t="shared" si="23"/>
        <v>0</v>
      </c>
      <c r="V62" s="113">
        <f t="shared" si="23"/>
        <v>0</v>
      </c>
      <c r="W62" s="113">
        <f t="shared" si="23"/>
        <v>0</v>
      </c>
      <c r="X62" s="113">
        <f t="shared" si="23"/>
        <v>0</v>
      </c>
      <c r="Y62" s="113">
        <f t="shared" si="23"/>
        <v>0</v>
      </c>
      <c r="Z62" s="113">
        <f t="shared" si="23"/>
        <v>0</v>
      </c>
      <c r="AA62" s="113">
        <f t="shared" si="23"/>
        <v>0</v>
      </c>
      <c r="AB62" s="113">
        <f t="shared" si="23"/>
        <v>0</v>
      </c>
      <c r="AC62" s="113">
        <f t="shared" si="23"/>
        <v>0</v>
      </c>
      <c r="AD62" s="113">
        <f t="shared" si="23"/>
        <v>0</v>
      </c>
      <c r="AE62" s="113">
        <f t="shared" si="23"/>
        <v>0</v>
      </c>
      <c r="AF62" s="113">
        <f t="shared" si="23"/>
        <v>0</v>
      </c>
      <c r="AG62" s="113">
        <f t="shared" si="23"/>
        <v>0</v>
      </c>
    </row>
    <row r="63" spans="2:33" hidden="1" outlineLevel="1" x14ac:dyDescent="0.25">
      <c r="B63" s="347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</row>
    <row r="64" spans="2:33" hidden="1" outlineLevel="1" x14ac:dyDescent="0.25">
      <c r="B64" s="408" t="s">
        <v>242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</row>
    <row r="65" spans="2:33" hidden="1" outlineLevel="1" x14ac:dyDescent="0.25">
      <c r="B65" s="404" t="s">
        <v>243</v>
      </c>
      <c r="C65" s="113">
        <f>C43+C62</f>
        <v>-229425.4986243443</v>
      </c>
      <c r="D65" s="113">
        <f>D43+D62</f>
        <v>96897.162170320444</v>
      </c>
      <c r="E65" s="113">
        <f t="shared" ref="E65:AG65" si="24">E43+E62</f>
        <v>170767.06200696423</v>
      </c>
      <c r="F65" s="113">
        <f t="shared" si="24"/>
        <v>174311.43306160625</v>
      </c>
      <c r="G65" s="113">
        <f t="shared" si="24"/>
        <v>177934.94241170245</v>
      </c>
      <c r="H65" s="113">
        <f t="shared" si="24"/>
        <v>181639.59918417063</v>
      </c>
      <c r="I65" s="113">
        <f t="shared" si="24"/>
        <v>185427.46654555434</v>
      </c>
      <c r="J65" s="113">
        <f t="shared" si="24"/>
        <v>159300.66318904574</v>
      </c>
      <c r="K65" s="113">
        <f t="shared" si="24"/>
        <v>193261.36486277613</v>
      </c>
      <c r="L65" s="113">
        <f t="shared" si="24"/>
        <v>197311.80594052904</v>
      </c>
      <c r="M65" s="113">
        <f t="shared" si="24"/>
        <v>201454.28103605</v>
      </c>
      <c r="N65" s="113">
        <f t="shared" si="24"/>
        <v>205691.14666217452</v>
      </c>
      <c r="O65" s="113">
        <f t="shared" si="24"/>
        <v>210024.82293601558</v>
      </c>
      <c r="P65" s="113">
        <f t="shared" si="24"/>
        <v>184457.795331498</v>
      </c>
      <c r="Q65" s="113">
        <f t="shared" si="24"/>
        <v>218992.61648055539</v>
      </c>
      <c r="R65" s="113">
        <f t="shared" si="24"/>
        <v>223631.90802434515</v>
      </c>
      <c r="S65" s="113">
        <f t="shared" si="24"/>
        <v>228378.36251587752</v>
      </c>
      <c r="T65" s="113">
        <f t="shared" si="24"/>
        <v>233234.74537548379</v>
      </c>
      <c r="U65" s="113">
        <f t="shared" si="24"/>
        <v>238203.89690060201</v>
      </c>
      <c r="V65" s="113">
        <f t="shared" si="24"/>
        <v>243288.73433139172</v>
      </c>
      <c r="W65" s="113">
        <f t="shared" si="24"/>
        <v>248904.72232377846</v>
      </c>
      <c r="X65" s="113">
        <f t="shared" si="24"/>
        <v>254252.85879472451</v>
      </c>
      <c r="Y65" s="113">
        <f t="shared" si="24"/>
        <v>259726.14464527267</v>
      </c>
      <c r="Z65" s="113">
        <f t="shared" si="24"/>
        <v>0</v>
      </c>
      <c r="AA65" s="113">
        <f t="shared" si="24"/>
        <v>0</v>
      </c>
      <c r="AB65" s="113">
        <f t="shared" si="24"/>
        <v>0</v>
      </c>
      <c r="AC65" s="113">
        <f t="shared" si="24"/>
        <v>0</v>
      </c>
      <c r="AD65" s="113">
        <f t="shared" si="24"/>
        <v>0</v>
      </c>
      <c r="AE65" s="113">
        <f t="shared" si="24"/>
        <v>0</v>
      </c>
      <c r="AF65" s="113">
        <f t="shared" si="24"/>
        <v>0</v>
      </c>
      <c r="AG65" s="113">
        <f t="shared" si="24"/>
        <v>0</v>
      </c>
    </row>
    <row r="66" spans="2:33" hidden="1" outlineLevel="1" x14ac:dyDescent="0.25">
      <c r="B66" s="347" t="s">
        <v>244</v>
      </c>
      <c r="C66" s="113">
        <f>IF(C65&gt;0,0,C65)</f>
        <v>-229425.4986243443</v>
      </c>
      <c r="D66" s="113">
        <f>IF(D65&gt;0,C66+D67,C66+D65)</f>
        <v>-151907.76888808794</v>
      </c>
      <c r="E66" s="113">
        <f>IF(E65&gt;0,D66+E67,D66+E65)</f>
        <v>-15294.119282516564</v>
      </c>
      <c r="F66" s="113">
        <f>IF(F65&gt;0,E66+F67,E66+F65)</f>
        <v>0</v>
      </c>
      <c r="G66" s="113">
        <f t="shared" ref="G66:AG66" si="25">IF(G65&gt;0,F66+G67,F66+G65)</f>
        <v>0</v>
      </c>
      <c r="H66" s="113">
        <f t="shared" si="25"/>
        <v>0</v>
      </c>
      <c r="I66" s="113">
        <f t="shared" si="25"/>
        <v>0</v>
      </c>
      <c r="J66" s="113">
        <f t="shared" si="25"/>
        <v>0</v>
      </c>
      <c r="K66" s="113">
        <f t="shared" si="25"/>
        <v>0</v>
      </c>
      <c r="L66" s="113">
        <f t="shared" si="25"/>
        <v>0</v>
      </c>
      <c r="M66" s="113">
        <f t="shared" si="25"/>
        <v>0</v>
      </c>
      <c r="N66" s="113">
        <f t="shared" si="25"/>
        <v>0</v>
      </c>
      <c r="O66" s="113">
        <f t="shared" si="25"/>
        <v>0</v>
      </c>
      <c r="P66" s="113">
        <f t="shared" si="25"/>
        <v>0</v>
      </c>
      <c r="Q66" s="113">
        <f t="shared" si="25"/>
        <v>0</v>
      </c>
      <c r="R66" s="113">
        <f t="shared" si="25"/>
        <v>0</v>
      </c>
      <c r="S66" s="113">
        <f t="shared" si="25"/>
        <v>0</v>
      </c>
      <c r="T66" s="113">
        <f t="shared" si="25"/>
        <v>0</v>
      </c>
      <c r="U66" s="113">
        <f t="shared" si="25"/>
        <v>0</v>
      </c>
      <c r="V66" s="113">
        <f t="shared" si="25"/>
        <v>0</v>
      </c>
      <c r="W66" s="113">
        <f t="shared" si="25"/>
        <v>0</v>
      </c>
      <c r="X66" s="113">
        <f t="shared" si="25"/>
        <v>0</v>
      </c>
      <c r="Y66" s="113">
        <f t="shared" si="25"/>
        <v>0</v>
      </c>
      <c r="Z66" s="113">
        <f t="shared" si="25"/>
        <v>0</v>
      </c>
      <c r="AA66" s="113">
        <f t="shared" si="25"/>
        <v>0</v>
      </c>
      <c r="AB66" s="113">
        <f t="shared" si="25"/>
        <v>0</v>
      </c>
      <c r="AC66" s="113">
        <f t="shared" si="25"/>
        <v>0</v>
      </c>
      <c r="AD66" s="113">
        <f t="shared" si="25"/>
        <v>0</v>
      </c>
      <c r="AE66" s="113">
        <f t="shared" si="25"/>
        <v>0</v>
      </c>
      <c r="AF66" s="113">
        <f t="shared" si="25"/>
        <v>0</v>
      </c>
      <c r="AG66" s="113">
        <f t="shared" si="25"/>
        <v>0</v>
      </c>
    </row>
    <row r="67" spans="2:33" hidden="1" outlineLevel="1" x14ac:dyDescent="0.25">
      <c r="B67" s="347" t="s">
        <v>245</v>
      </c>
      <c r="C67" s="113">
        <v>0</v>
      </c>
      <c r="D67" s="113">
        <f>IF(D65&gt;0,MIN(C66*-1,D65*0.8))*D52</f>
        <v>77517.729736256355</v>
      </c>
      <c r="E67" s="113">
        <f>IF(E65&gt;0,MIN(D66*-1,E65*0.8))*E52</f>
        <v>136613.64960557138</v>
      </c>
      <c r="F67" s="113">
        <f>IF(F65&gt;0,MIN(E66*-1,F65*0.8))*F52</f>
        <v>15294.119282516564</v>
      </c>
      <c r="G67" s="113">
        <f t="shared" ref="G67:AG67" si="26">IF(G65&gt;0,MIN(F66*-1,G65*0.8))*G52</f>
        <v>0</v>
      </c>
      <c r="H67" s="113">
        <f t="shared" si="26"/>
        <v>0</v>
      </c>
      <c r="I67" s="113">
        <f t="shared" si="26"/>
        <v>0</v>
      </c>
      <c r="J67" s="113">
        <f t="shared" si="26"/>
        <v>0</v>
      </c>
      <c r="K67" s="113">
        <f t="shared" si="26"/>
        <v>0</v>
      </c>
      <c r="L67" s="113">
        <f t="shared" si="26"/>
        <v>0</v>
      </c>
      <c r="M67" s="113">
        <f t="shared" si="26"/>
        <v>0</v>
      </c>
      <c r="N67" s="113">
        <f t="shared" si="26"/>
        <v>0</v>
      </c>
      <c r="O67" s="113">
        <f t="shared" si="26"/>
        <v>0</v>
      </c>
      <c r="P67" s="113">
        <f t="shared" si="26"/>
        <v>0</v>
      </c>
      <c r="Q67" s="113">
        <f t="shared" si="26"/>
        <v>0</v>
      </c>
      <c r="R67" s="113">
        <f t="shared" si="26"/>
        <v>0</v>
      </c>
      <c r="S67" s="113">
        <f t="shared" si="26"/>
        <v>0</v>
      </c>
      <c r="T67" s="113">
        <f t="shared" si="26"/>
        <v>0</v>
      </c>
      <c r="U67" s="113">
        <f t="shared" si="26"/>
        <v>0</v>
      </c>
      <c r="V67" s="113">
        <f t="shared" si="26"/>
        <v>0</v>
      </c>
      <c r="W67" s="113">
        <f t="shared" si="26"/>
        <v>0</v>
      </c>
      <c r="X67" s="113">
        <f t="shared" si="26"/>
        <v>0</v>
      </c>
      <c r="Y67" s="113">
        <f t="shared" si="26"/>
        <v>0</v>
      </c>
      <c r="Z67" s="113">
        <f t="shared" si="26"/>
        <v>0</v>
      </c>
      <c r="AA67" s="113">
        <f t="shared" si="26"/>
        <v>0</v>
      </c>
      <c r="AB67" s="113">
        <f t="shared" si="26"/>
        <v>0</v>
      </c>
      <c r="AC67" s="113">
        <f t="shared" si="26"/>
        <v>0</v>
      </c>
      <c r="AD67" s="113">
        <f t="shared" si="26"/>
        <v>0</v>
      </c>
      <c r="AE67" s="113">
        <f t="shared" si="26"/>
        <v>0</v>
      </c>
      <c r="AF67" s="113">
        <f t="shared" si="26"/>
        <v>0</v>
      </c>
      <c r="AG67" s="113">
        <f t="shared" si="26"/>
        <v>0</v>
      </c>
    </row>
    <row r="68" spans="2:33" hidden="1" outlineLevel="1" x14ac:dyDescent="0.25">
      <c r="B68" s="347"/>
      <c r="C68" s="113"/>
      <c r="D68" s="113"/>
      <c r="E68" s="113"/>
      <c r="F68" s="113"/>
      <c r="G68" s="113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/>
      <c r="AC68" s="113"/>
      <c r="AD68" s="113"/>
      <c r="AE68" s="113"/>
      <c r="AF68" s="113"/>
      <c r="AG68" s="113"/>
    </row>
    <row r="69" spans="2:33" hidden="1" outlineLevel="1" x14ac:dyDescent="0.25">
      <c r="B69" s="409" t="s">
        <v>246</v>
      </c>
      <c r="C69" s="393"/>
      <c r="D69" s="393"/>
      <c r="E69" s="393"/>
      <c r="F69" s="393"/>
      <c r="G69" s="393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3"/>
      <c r="S69" s="393"/>
      <c r="T69" s="393"/>
      <c r="U69" s="393"/>
      <c r="V69" s="393"/>
      <c r="W69" s="393"/>
      <c r="X69" s="393"/>
      <c r="Y69" s="393"/>
      <c r="Z69" s="393"/>
      <c r="AA69" s="393"/>
      <c r="AB69" s="393"/>
      <c r="AC69" s="393"/>
      <c r="AD69" s="393"/>
      <c r="AE69" s="393"/>
      <c r="AF69" s="393"/>
      <c r="AG69" s="393"/>
    </row>
    <row r="70" spans="2:33" hidden="1" outlineLevel="1" x14ac:dyDescent="0.25">
      <c r="B70" s="347" t="s">
        <v>247</v>
      </c>
      <c r="C70" s="113">
        <f>IF(C65&lt;0,C65*IN!$C$54,0)</f>
        <v>-55062.119669842628</v>
      </c>
      <c r="D70" s="113">
        <f>IF(D65&lt;0,D65*IN!$C$54,0)</f>
        <v>0</v>
      </c>
      <c r="E70" s="113">
        <f>IF(E65&lt;0,E65*IN!$C$54,0)</f>
        <v>0</v>
      </c>
      <c r="F70" s="113">
        <f>IF(F65&lt;0,F65*IN!$C$54,0)</f>
        <v>0</v>
      </c>
      <c r="G70" s="113">
        <f>IF(G65&lt;0,G65*IN!$C$54,0)</f>
        <v>0</v>
      </c>
      <c r="H70" s="113">
        <f>IF(H65&lt;0,H65*IN!$C$54,0)</f>
        <v>0</v>
      </c>
      <c r="I70" s="113">
        <f>IF(I65&lt;0,I65*IN!$C$54,0)</f>
        <v>0</v>
      </c>
      <c r="J70" s="113">
        <f>IF(J65&lt;0,J65*IN!$C$54,0)</f>
        <v>0</v>
      </c>
      <c r="K70" s="113">
        <f>IF(K65&lt;0,K65*IN!$C$54,0)</f>
        <v>0</v>
      </c>
      <c r="L70" s="113">
        <f>IF(L65&lt;0,L65*IN!$C$54,0)</f>
        <v>0</v>
      </c>
      <c r="M70" s="113">
        <f>IF(M65&lt;0,M65*IN!$C$54,0)</f>
        <v>0</v>
      </c>
      <c r="N70" s="113">
        <f>IF(N65&lt;0,N65*IN!$C$54,0)</f>
        <v>0</v>
      </c>
      <c r="O70" s="113">
        <f>IF(O65&lt;0,O65*IN!$C$54,0)</f>
        <v>0</v>
      </c>
      <c r="P70" s="113">
        <f>IF(P65&lt;0,P65*IN!$C$54,0)</f>
        <v>0</v>
      </c>
      <c r="Q70" s="113">
        <f>IF(Q65&lt;0,Q65*IN!$C$54,0)</f>
        <v>0</v>
      </c>
      <c r="R70" s="113">
        <f>IF(R65&lt;0,R65*IN!$C$54,0)</f>
        <v>0</v>
      </c>
      <c r="S70" s="113">
        <f>IF(S65&lt;0,S65*IN!$C$54,0)</f>
        <v>0</v>
      </c>
      <c r="T70" s="113">
        <f>IF(T65&lt;0,T65*IN!$C$54,0)</f>
        <v>0</v>
      </c>
      <c r="U70" s="113">
        <f>IF(U65&lt;0,U65*IN!$C$54,0)</f>
        <v>0</v>
      </c>
      <c r="V70" s="113">
        <f>IF(V65&lt;0,V65*IN!$C$54,0)</f>
        <v>0</v>
      </c>
      <c r="W70" s="113">
        <f>IF(W65&lt;0,W65*IN!$C$54,0)</f>
        <v>0</v>
      </c>
      <c r="X70" s="113">
        <f>IF(X65&lt;0,X65*IN!$C$54,0)</f>
        <v>0</v>
      </c>
      <c r="Y70" s="113">
        <f>IF(Y65&lt;0,Y65*IN!$C$54,0)</f>
        <v>0</v>
      </c>
      <c r="Z70" s="113">
        <f>IF(Z65&lt;0,Z65*IN!$C$54,0)</f>
        <v>0</v>
      </c>
      <c r="AA70" s="113">
        <f>IF(AA65&lt;0,AA65*IN!$C$54,0)</f>
        <v>0</v>
      </c>
      <c r="AB70" s="113">
        <f>IF(AB65&lt;0,AB65*IN!$C$54,0)</f>
        <v>0</v>
      </c>
      <c r="AC70" s="113">
        <f>IF(AC65&lt;0,AC65*IN!$C$54,0)</f>
        <v>0</v>
      </c>
      <c r="AD70" s="113">
        <f>IF(AD65&lt;0,AD65*IN!$C$54,0)</f>
        <v>0</v>
      </c>
      <c r="AE70" s="113">
        <f>IF(AE65&lt;0,AE65*IN!$C$54,0)</f>
        <v>0</v>
      </c>
      <c r="AF70" s="113">
        <f>IF(AF65&lt;0,AF65*IN!$C$54,0)</f>
        <v>0</v>
      </c>
      <c r="AG70" s="113">
        <f>IF(AG65&lt;0,AG65*IN!$C$54,0)</f>
        <v>0</v>
      </c>
    </row>
    <row r="71" spans="2:33" hidden="1" outlineLevel="1" x14ac:dyDescent="0.25">
      <c r="B71" s="347" t="s">
        <v>248</v>
      </c>
      <c r="C71" s="113">
        <f>-C62*IN!$C$54</f>
        <v>-16896.650530391205</v>
      </c>
      <c r="D71" s="113">
        <f>-D62*IN!$C$54</f>
        <v>16896.650530391205</v>
      </c>
      <c r="E71" s="113">
        <f>-E62*IN!$C$54</f>
        <v>0</v>
      </c>
      <c r="F71" s="113">
        <f>-F62*IN!$C$54</f>
        <v>0</v>
      </c>
      <c r="G71" s="113">
        <f>-G62*IN!$C$54</f>
        <v>0</v>
      </c>
      <c r="H71" s="113">
        <f>-H62*IN!$C$54</f>
        <v>0</v>
      </c>
      <c r="I71" s="113">
        <f>-I62*IN!$C$54</f>
        <v>0</v>
      </c>
      <c r="J71" s="113">
        <f>-J62*IN!$C$54</f>
        <v>0</v>
      </c>
      <c r="K71" s="113">
        <f>-K62*IN!$C$54</f>
        <v>0</v>
      </c>
      <c r="L71" s="113">
        <f>-L62*IN!$C$54</f>
        <v>0</v>
      </c>
      <c r="M71" s="113">
        <f>-M62*IN!$C$54</f>
        <v>0</v>
      </c>
      <c r="N71" s="113">
        <f>-N62*IN!$C$54</f>
        <v>0</v>
      </c>
      <c r="O71" s="113">
        <f>-O62*IN!$C$54</f>
        <v>0</v>
      </c>
      <c r="P71" s="113">
        <f>-P62*IN!$C$54</f>
        <v>0</v>
      </c>
      <c r="Q71" s="113">
        <f>-Q62*IN!$C$54</f>
        <v>0</v>
      </c>
      <c r="R71" s="113">
        <f>-R62*IN!$C$54</f>
        <v>0</v>
      </c>
      <c r="S71" s="113">
        <f>-S62*IN!$C$54</f>
        <v>0</v>
      </c>
      <c r="T71" s="113">
        <f>-T62*IN!$C$54</f>
        <v>0</v>
      </c>
      <c r="U71" s="113">
        <f>-U62*IN!$C$54</f>
        <v>0</v>
      </c>
      <c r="V71" s="113">
        <f>-V62*IN!$C$54</f>
        <v>0</v>
      </c>
      <c r="W71" s="113">
        <f>-W62*IN!$C$54</f>
        <v>0</v>
      </c>
      <c r="X71" s="113">
        <f>-X62*IN!$C$54</f>
        <v>0</v>
      </c>
      <c r="Y71" s="113">
        <f>-Y62*IN!$C$54</f>
        <v>0</v>
      </c>
      <c r="Z71" s="113">
        <f>-Z62*IN!$C$54</f>
        <v>0</v>
      </c>
      <c r="AA71" s="113">
        <f>-AA62*IN!$C$54</f>
        <v>0</v>
      </c>
      <c r="AB71" s="113">
        <f>-AB62*IN!$C$54</f>
        <v>0</v>
      </c>
      <c r="AC71" s="113">
        <f>-AC62*IN!$C$54</f>
        <v>0</v>
      </c>
      <c r="AD71" s="113">
        <f>-AD62*IN!$C$54</f>
        <v>0</v>
      </c>
      <c r="AE71" s="113">
        <f>-AE62*IN!$C$54</f>
        <v>0</v>
      </c>
      <c r="AF71" s="113">
        <f>-AF62*IN!$C$54</f>
        <v>0</v>
      </c>
      <c r="AG71" s="113">
        <f>-AG62*IN!$C$54</f>
        <v>0</v>
      </c>
    </row>
    <row r="72" spans="2:33" hidden="1" outlineLevel="1" x14ac:dyDescent="0.25">
      <c r="B72" s="347" t="s">
        <v>249</v>
      </c>
      <c r="C72" s="113">
        <f>C67*IN!$C$54</f>
        <v>0</v>
      </c>
      <c r="D72" s="113">
        <f>D67*IN!$C$54</f>
        <v>18604.255136701526</v>
      </c>
      <c r="E72" s="113">
        <f>E67*IN!$C$54</f>
        <v>32787.275905337126</v>
      </c>
      <c r="F72" s="113">
        <f>F67*IN!$C$54</f>
        <v>3670.5886278039752</v>
      </c>
      <c r="G72" s="113">
        <f>G67*IN!$C$54</f>
        <v>0</v>
      </c>
      <c r="H72" s="113">
        <f>H67*IN!$C$54</f>
        <v>0</v>
      </c>
      <c r="I72" s="113">
        <f>I67*IN!$C$54</f>
        <v>0</v>
      </c>
      <c r="J72" s="113">
        <f>J67*IN!$C$54</f>
        <v>0</v>
      </c>
      <c r="K72" s="113">
        <f>K67*IN!$C$54</f>
        <v>0</v>
      </c>
      <c r="L72" s="113">
        <f>L67*IN!$C$54</f>
        <v>0</v>
      </c>
      <c r="M72" s="113">
        <f>M67*IN!$C$54</f>
        <v>0</v>
      </c>
      <c r="N72" s="113">
        <f>N67*IN!$C$54</f>
        <v>0</v>
      </c>
      <c r="O72" s="113">
        <f>O67*IN!$C$54</f>
        <v>0</v>
      </c>
      <c r="P72" s="113">
        <f>P67*IN!$C$54</f>
        <v>0</v>
      </c>
      <c r="Q72" s="113">
        <f>Q67*IN!$C$54</f>
        <v>0</v>
      </c>
      <c r="R72" s="113">
        <f>R67*IN!$C$54</f>
        <v>0</v>
      </c>
      <c r="S72" s="113">
        <f>S67*IN!$C$54</f>
        <v>0</v>
      </c>
      <c r="T72" s="113">
        <f>T67*IN!$C$54</f>
        <v>0</v>
      </c>
      <c r="U72" s="113">
        <f>U67*IN!$C$54</f>
        <v>0</v>
      </c>
      <c r="V72" s="113">
        <f>V67*IN!$C$54</f>
        <v>0</v>
      </c>
      <c r="W72" s="113">
        <f>W67*IN!$C$54</f>
        <v>0</v>
      </c>
      <c r="X72" s="113">
        <f>X67*IN!$C$54</f>
        <v>0</v>
      </c>
      <c r="Y72" s="113">
        <f>Y67*IN!$C$54</f>
        <v>0</v>
      </c>
      <c r="Z72" s="113">
        <f>Z67*IN!$C$54</f>
        <v>0</v>
      </c>
      <c r="AA72" s="113">
        <f>AA67*IN!$C$54</f>
        <v>0</v>
      </c>
      <c r="AB72" s="113">
        <f>AB67*IN!$C$54</f>
        <v>0</v>
      </c>
      <c r="AC72" s="113">
        <f>AC67*IN!$C$54</f>
        <v>0</v>
      </c>
      <c r="AD72" s="113">
        <f>AD67*IN!$C$54</f>
        <v>0</v>
      </c>
      <c r="AE72" s="113">
        <f>AE67*IN!$C$54</f>
        <v>0</v>
      </c>
      <c r="AF72" s="113">
        <f>AF67*IN!$C$54</f>
        <v>0</v>
      </c>
      <c r="AG72" s="113">
        <f>AG67*IN!$C$54</f>
        <v>0</v>
      </c>
    </row>
    <row r="73" spans="2:33" hidden="1" outlineLevel="1" x14ac:dyDescent="0.25">
      <c r="B73" s="347" t="s">
        <v>250</v>
      </c>
      <c r="C73" s="113">
        <f>IF(C65&gt;0,(C65-C67)*IN!$C$54,0)</f>
        <v>0</v>
      </c>
      <c r="D73" s="113">
        <f>IF(D65&gt;0,(D65-D67)*IN!$C$54,0)</f>
        <v>4651.0637841753814</v>
      </c>
      <c r="E73" s="113">
        <f>IF(E65&gt;0,(E65-E67)*IN!$C$54,0)</f>
        <v>8196.8189763342834</v>
      </c>
      <c r="F73" s="113">
        <f>IF(F65&gt;0,(F65-F67)*IN!$C$54,0)</f>
        <v>38164.15530698152</v>
      </c>
      <c r="G73" s="113">
        <f>IF(G65&gt;0,(G65-G67)*IN!$C$54,0)</f>
        <v>42704.386178808585</v>
      </c>
      <c r="H73" s="113">
        <f>IF(H65&gt;0,(H65-H67)*IN!$C$54,0)</f>
        <v>43593.503804200947</v>
      </c>
      <c r="I73" s="113">
        <f>IF(I65&gt;0,(I65-I67)*IN!$C$54,0)</f>
        <v>44502.591970933041</v>
      </c>
      <c r="J73" s="113">
        <f>IF(J65&gt;0,(J65-J67)*IN!$C$54,0)</f>
        <v>38232.159165370977</v>
      </c>
      <c r="K73" s="113">
        <f>IF(K65&gt;0,(K65-K67)*IN!$C$54,0)</f>
        <v>46382.727567066271</v>
      </c>
      <c r="L73" s="113">
        <f>IF(L65&gt;0,(L65-L67)*IN!$C$54,0)</f>
        <v>47354.833425726967</v>
      </c>
      <c r="M73" s="113">
        <f>IF(M65&gt;0,(M65-M67)*IN!$C$54,0)</f>
        <v>48349.027448651999</v>
      </c>
      <c r="N73" s="113">
        <f>IF(N65&gt;0,(N65-N67)*IN!$C$54,0)</f>
        <v>49365.87519892188</v>
      </c>
      <c r="O73" s="113">
        <f>IF(O65&gt;0,(O65-O67)*IN!$C$54,0)</f>
        <v>50405.957504643739</v>
      </c>
      <c r="P73" s="113">
        <f>IF(P65&gt;0,(P65-P67)*IN!$C$54,0)</f>
        <v>44269.870879559516</v>
      </c>
      <c r="Q73" s="113">
        <f>IF(Q65&gt;0,(Q65-Q67)*IN!$C$54,0)</f>
        <v>52558.227955333292</v>
      </c>
      <c r="R73" s="113">
        <f>IF(R65&gt;0,(R65-R67)*IN!$C$54,0)</f>
        <v>53671.657925842832</v>
      </c>
      <c r="S73" s="113">
        <f>IF(S65&gt;0,(S65-S67)*IN!$C$54,0)</f>
        <v>54810.807003810602</v>
      </c>
      <c r="T73" s="113">
        <f>IF(T65&gt;0,(T65-T67)*IN!$C$54,0)</f>
        <v>55976.338890116109</v>
      </c>
      <c r="U73" s="113">
        <f>IF(U65&gt;0,(U65-U67)*IN!$C$54,0)</f>
        <v>57168.935256144476</v>
      </c>
      <c r="V73" s="113">
        <f>IF(V65&gt;0,(V65-V67)*IN!$C$54,0)</f>
        <v>58389.296239534015</v>
      </c>
      <c r="W73" s="113">
        <f>IF(W65&gt;0,(W65-W67)*IN!$C$54,0)</f>
        <v>59737.133357706829</v>
      </c>
      <c r="X73" s="113">
        <f>IF(X65&gt;0,(X65-X67)*IN!$C$54,0)</f>
        <v>61020.686110733877</v>
      </c>
      <c r="Y73" s="113">
        <f>IF(Y65&gt;0,(Y65-Y67)*IN!$C$54,0)</f>
        <v>62334.274714865438</v>
      </c>
      <c r="Z73" s="113">
        <f>IF(Z65&gt;0,(Z65-Z67)*IN!$C$54,0)</f>
        <v>0</v>
      </c>
      <c r="AA73" s="113">
        <f>IF(AA65&gt;0,(AA65-AA67)*IN!$C$54,0)</f>
        <v>0</v>
      </c>
      <c r="AB73" s="113">
        <f>IF(AB65&gt;0,(AB65-AB67)*IN!$C$54,0)</f>
        <v>0</v>
      </c>
      <c r="AC73" s="113">
        <f>IF(AC65&gt;0,(AC65-AC67)*IN!$C$54,0)</f>
        <v>0</v>
      </c>
      <c r="AD73" s="113">
        <f>IF(AD65&gt;0,(AD65-AD67)*IN!$C$54,0)</f>
        <v>0</v>
      </c>
      <c r="AE73" s="113">
        <f>IF(AE65&gt;0,(AE65-AE67)*IN!$C$54,0)</f>
        <v>0</v>
      </c>
      <c r="AF73" s="113">
        <f>IF(AF65&gt;0,(AF65-AF67)*IN!$C$54,0)</f>
        <v>0</v>
      </c>
      <c r="AG73" s="113">
        <f>IF(AG65&gt;0,(AG65-AG67)*IN!$C$54,0)</f>
        <v>0</v>
      </c>
    </row>
    <row r="74" spans="2:33" hidden="1" outlineLevel="1" x14ac:dyDescent="0.2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</row>
    <row r="75" spans="2:33" hidden="1" outlineLevel="1" x14ac:dyDescent="0.25">
      <c r="B75" s="404" t="s">
        <v>251</v>
      </c>
      <c r="C75" s="113">
        <f>SUM(C70:C73)</f>
        <v>-71958.770200233834</v>
      </c>
      <c r="D75" s="113">
        <f>SUM(D70:D73)</f>
        <v>40151.969451268116</v>
      </c>
      <c r="E75" s="113">
        <f t="shared" ref="E75:AG75" si="27">SUM(E70:E73)</f>
        <v>40984.094881671408</v>
      </c>
      <c r="F75" s="113">
        <f t="shared" si="27"/>
        <v>41834.743934785496</v>
      </c>
      <c r="G75" s="113">
        <f t="shared" si="27"/>
        <v>42704.386178808585</v>
      </c>
      <c r="H75" s="113">
        <f t="shared" si="27"/>
        <v>43593.503804200947</v>
      </c>
      <c r="I75" s="113">
        <f t="shared" si="27"/>
        <v>44502.591970933041</v>
      </c>
      <c r="J75" s="113">
        <f t="shared" si="27"/>
        <v>38232.159165370977</v>
      </c>
      <c r="K75" s="113">
        <f t="shared" si="27"/>
        <v>46382.727567066271</v>
      </c>
      <c r="L75" s="113">
        <f t="shared" si="27"/>
        <v>47354.833425726967</v>
      </c>
      <c r="M75" s="113">
        <f t="shared" si="27"/>
        <v>48349.027448651999</v>
      </c>
      <c r="N75" s="113">
        <f t="shared" si="27"/>
        <v>49365.87519892188</v>
      </c>
      <c r="O75" s="113">
        <f t="shared" si="27"/>
        <v>50405.957504643739</v>
      </c>
      <c r="P75" s="113">
        <f t="shared" si="27"/>
        <v>44269.870879559516</v>
      </c>
      <c r="Q75" s="113">
        <f t="shared" si="27"/>
        <v>52558.227955333292</v>
      </c>
      <c r="R75" s="113">
        <f t="shared" si="27"/>
        <v>53671.657925842832</v>
      </c>
      <c r="S75" s="113">
        <f t="shared" si="27"/>
        <v>54810.807003810602</v>
      </c>
      <c r="T75" s="113">
        <f t="shared" si="27"/>
        <v>55976.338890116109</v>
      </c>
      <c r="U75" s="113">
        <f t="shared" si="27"/>
        <v>57168.935256144476</v>
      </c>
      <c r="V75" s="113">
        <f t="shared" si="27"/>
        <v>58389.296239534015</v>
      </c>
      <c r="W75" s="113">
        <f t="shared" si="27"/>
        <v>59737.133357706829</v>
      </c>
      <c r="X75" s="113">
        <f t="shared" si="27"/>
        <v>61020.686110733877</v>
      </c>
      <c r="Y75" s="113">
        <f t="shared" si="27"/>
        <v>62334.274714865438</v>
      </c>
      <c r="Z75" s="113">
        <f t="shared" si="27"/>
        <v>0</v>
      </c>
      <c r="AA75" s="113">
        <f t="shared" si="27"/>
        <v>0</v>
      </c>
      <c r="AB75" s="113">
        <f t="shared" si="27"/>
        <v>0</v>
      </c>
      <c r="AC75" s="113">
        <f t="shared" si="27"/>
        <v>0</v>
      </c>
      <c r="AD75" s="113">
        <f t="shared" si="27"/>
        <v>0</v>
      </c>
      <c r="AE75" s="113">
        <f t="shared" si="27"/>
        <v>0</v>
      </c>
      <c r="AF75" s="113">
        <f t="shared" si="27"/>
        <v>0</v>
      </c>
      <c r="AG75" s="113">
        <f t="shared" si="27"/>
        <v>0</v>
      </c>
    </row>
    <row r="76" spans="2:33" hidden="1" outlineLevel="1" x14ac:dyDescent="0.25">
      <c r="B76" s="404" t="s">
        <v>65</v>
      </c>
      <c r="C76" s="113">
        <f>IF((C40+C32)&gt;0,(C40+C32)*IN!$C$55,0)</f>
        <v>0</v>
      </c>
      <c r="D76" s="113">
        <f>IF((D40+D32)&gt;0,(D40+D32)*IN!$C$55,0)</f>
        <v>10068.80863404571</v>
      </c>
      <c r="E76" s="113">
        <f>IF((E40+E32)&gt;0,(E40+E32)*IN!$C$55,0)</f>
        <v>10115.870105947801</v>
      </c>
      <c r="F76" s="113">
        <f>IF((F40+F32)&gt;0,(F40+F32)*IN!$C$55,0)</f>
        <v>10163.409150643083</v>
      </c>
      <c r="G76" s="113">
        <f>IF((G40+G32)&gt;0,(G40+G32)*IN!$C$55,0)</f>
        <v>10211.430683020963</v>
      </c>
      <c r="H76" s="113">
        <f>IF((H40+H32)&gt;0,(H40+H32)*IN!$C$55,0)</f>
        <v>10259.939669902999</v>
      </c>
      <c r="I76" s="113">
        <f>IF((I40+I32)&gt;0,(I40+I32)*IN!$C$55,0)</f>
        <v>10308.941130617826</v>
      </c>
      <c r="J76" s="113">
        <f>IF((J40+J32)&gt;0,(J40+J32)*IN!$C$55,0)</f>
        <v>9098.4401375830657</v>
      </c>
      <c r="K76" s="113">
        <f>IF((K40+K32)&gt;0,(K40+K32)*IN!$C$55,0)</f>
        <v>10408.441816894059</v>
      </c>
      <c r="L76" s="113">
        <f>IF((L40+L32)&gt;0,(L40+L32)*IN!$C$55,0)</f>
        <v>10458.951348919818</v>
      </c>
      <c r="M76" s="113">
        <f>IF((M40+M32)&gt;0,(M40+M32)*IN!$C$55,0)</f>
        <v>10509.973968905899</v>
      </c>
      <c r="N76" s="113">
        <f>IF((N40+N32)&gt;0,(N40+N32)*IN!$C$55,0)</f>
        <v>10561.514967584722</v>
      </c>
      <c r="O76" s="113">
        <f>IF((O40+O32)&gt;0,(O40+O32)*IN!$C$55,0)</f>
        <v>10613.579691793067</v>
      </c>
      <c r="P76" s="113">
        <f>IF((P40+P32)&gt;0,(P40+P32)*IN!$C$55,0)</f>
        <v>9406.1735450970864</v>
      </c>
      <c r="Q76" s="113">
        <f>IF((Q40+Q32)&gt;0,(Q40+Q32)*IN!$C$55,0)</f>
        <v>10719.30198842481</v>
      </c>
      <c r="R76" s="113">
        <f>IF((R40+R32)&gt;0,(R40+R32)*IN!$C$55,0)</f>
        <v>10772.970540706265</v>
      </c>
      <c r="S76" s="113">
        <f>IF((S40+S32)&gt;0,(S40+S32)*IN!$C$55,0)</f>
        <v>10827.184779521429</v>
      </c>
      <c r="T76" s="113">
        <f>IF((T40+T32)&gt;0,(T40+T32)*IN!$C$55,0)</f>
        <v>10881.95034175585</v>
      </c>
      <c r="U76" s="113">
        <f>IF((U40+U32)&gt;0,(U40+U32)*IN!$C$55,0)</f>
        <v>10937.27292426432</v>
      </c>
      <c r="V76" s="113">
        <f>IF((V40+V32)&gt;0,(V40+V32)*IN!$C$55,0)</f>
        <v>10993.158284542653</v>
      </c>
      <c r="W76" s="113">
        <f>IF((W40+W32)&gt;0,(W40+W32)*IN!$C$55,0)</f>
        <v>11049.612241407407</v>
      </c>
      <c r="X76" s="113">
        <f>IF((X40+X32)&gt;0,(X40+X32)*IN!$C$55,0)</f>
        <v>11106.640675684142</v>
      </c>
      <c r="Y76" s="113">
        <f>IF((Y40+Y32)&gt;0,(Y40+Y32)*IN!$C$55,0)</f>
        <v>11164.249530903833</v>
      </c>
      <c r="Z76" s="113">
        <f>IF((Z40+Z32)&gt;0,(Z40+Z32)*IN!$C$55,0)</f>
        <v>0</v>
      </c>
      <c r="AA76" s="113">
        <f>IF((AA40+AA32)&gt;0,(AA40+AA32)*IN!$C$55,0)</f>
        <v>0</v>
      </c>
      <c r="AB76" s="113">
        <f>IF((AB40+AB32)&gt;0,(AB40+AB32)*IN!$C$55,0)</f>
        <v>0</v>
      </c>
      <c r="AC76" s="113">
        <f>IF((AC40+AC32)&gt;0,(AC40+AC32)*IN!$C$55,0)</f>
        <v>0</v>
      </c>
      <c r="AD76" s="113">
        <f>IF((AD40+AD32)&gt;0,(AD40+AD32)*IN!$C$55,0)</f>
        <v>0</v>
      </c>
      <c r="AE76" s="113">
        <f>IF((AE40+AE32)&gt;0,(AE40+AE32)*IN!$C$55,0)</f>
        <v>0</v>
      </c>
      <c r="AF76" s="113">
        <f>IF((AF40+AF32)&gt;0,(AF40+AF32)*IN!$C$55,0)</f>
        <v>0</v>
      </c>
      <c r="AG76" s="113">
        <f>IF((AG40+AG32)&gt;0,(AG40+AG32)*IN!$C$55,0)</f>
        <v>0</v>
      </c>
    </row>
    <row r="77" spans="2:33" collapsed="1" x14ac:dyDescent="0.25">
      <c r="B77" s="344"/>
      <c r="C77" s="346"/>
      <c r="D77" s="346"/>
      <c r="E77" s="346"/>
      <c r="F77" s="346"/>
      <c r="G77" s="346"/>
      <c r="H77" s="346"/>
      <c r="I77" s="346"/>
      <c r="J77" s="346"/>
      <c r="K77" s="346"/>
      <c r="L77" s="346"/>
      <c r="M77" s="346"/>
      <c r="N77" s="346"/>
      <c r="O77" s="346"/>
      <c r="P77" s="346"/>
      <c r="Q77" s="346"/>
      <c r="R77" s="346"/>
      <c r="S77" s="346"/>
      <c r="T77" s="346"/>
      <c r="U77" s="346"/>
      <c r="V77" s="346"/>
      <c r="W77" s="346"/>
      <c r="X77" s="346"/>
      <c r="Y77" s="346"/>
      <c r="Z77" s="346"/>
      <c r="AA77" s="346"/>
      <c r="AB77" s="346"/>
      <c r="AC77" s="346"/>
      <c r="AD77" s="346"/>
      <c r="AE77" s="346"/>
      <c r="AF77" s="346"/>
      <c r="AG77" s="197"/>
    </row>
    <row r="78" spans="2:33" x14ac:dyDescent="0.25">
      <c r="B78" s="344"/>
      <c r="C78" s="346"/>
      <c r="D78" s="346"/>
      <c r="E78" s="346"/>
      <c r="F78" s="346"/>
      <c r="G78" s="346"/>
      <c r="H78" s="346"/>
      <c r="I78" s="346"/>
      <c r="J78" s="346"/>
      <c r="K78" s="346"/>
      <c r="L78" s="346"/>
      <c r="M78" s="346"/>
      <c r="N78" s="346"/>
      <c r="O78" s="346"/>
      <c r="P78" s="346"/>
      <c r="Q78" s="346"/>
      <c r="R78" s="346"/>
      <c r="T78" s="346"/>
      <c r="U78" s="346"/>
      <c r="V78" s="346"/>
      <c r="W78" s="346"/>
      <c r="X78" s="346"/>
      <c r="Y78" s="346"/>
      <c r="Z78" s="346"/>
      <c r="AA78" s="346"/>
      <c r="AB78" s="346"/>
      <c r="AC78" s="346"/>
      <c r="AD78" s="346"/>
      <c r="AE78" s="346"/>
      <c r="AF78" s="346"/>
      <c r="AG78" s="197"/>
    </row>
    <row r="79" spans="2:33" x14ac:dyDescent="0.25">
      <c r="B79" s="345"/>
      <c r="C79" s="353"/>
      <c r="D79" s="346"/>
      <c r="E79" s="345"/>
      <c r="F79" s="345"/>
      <c r="G79" s="345"/>
      <c r="H79" s="345"/>
      <c r="I79" s="345"/>
      <c r="J79" s="345"/>
      <c r="K79" s="345"/>
      <c r="L79" s="345"/>
      <c r="M79" s="345"/>
      <c r="N79" s="345"/>
      <c r="O79" s="345"/>
      <c r="P79" s="345"/>
      <c r="Q79" s="345"/>
      <c r="R79" s="345"/>
      <c r="S79" s="345"/>
      <c r="T79" s="345"/>
      <c r="U79" s="345"/>
      <c r="V79" s="345"/>
      <c r="W79" s="345"/>
      <c r="X79" s="345"/>
      <c r="Y79" s="198"/>
      <c r="Z79" s="198"/>
      <c r="AA79" s="198"/>
      <c r="AB79" s="198"/>
      <c r="AC79" s="198"/>
      <c r="AD79" s="198"/>
      <c r="AE79" s="198"/>
      <c r="AF79" s="198"/>
      <c r="AG79" s="198"/>
    </row>
    <row r="80" spans="2:33" ht="23.25" x14ac:dyDescent="0.35">
      <c r="B80" s="175" t="s">
        <v>67</v>
      </c>
      <c r="C80" s="175"/>
      <c r="D80" s="123"/>
      <c r="E80" s="123"/>
      <c r="F80" s="123"/>
      <c r="G80" s="123"/>
      <c r="H80" s="137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</row>
    <row r="81" spans="2:33" x14ac:dyDescent="0.25">
      <c r="B81" s="334" t="s">
        <v>206</v>
      </c>
      <c r="C81" s="124"/>
      <c r="D81" s="124"/>
      <c r="E81" s="124"/>
      <c r="F81" s="124"/>
      <c r="G81" s="124"/>
      <c r="H81" s="124"/>
      <c r="I81" s="124"/>
      <c r="J81" s="124"/>
      <c r="K81" s="124"/>
      <c r="L81" s="124"/>
      <c r="M81" s="124"/>
      <c r="N81" s="124"/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  <c r="Z81" s="124"/>
      <c r="AA81" s="124"/>
      <c r="AB81" s="124"/>
      <c r="AC81" s="124"/>
      <c r="AD81" s="124"/>
      <c r="AE81" s="124"/>
      <c r="AF81" s="124"/>
      <c r="AG81" s="124"/>
    </row>
    <row r="82" spans="2:33" x14ac:dyDescent="0.25">
      <c r="B82" s="801" t="s">
        <v>143</v>
      </c>
      <c r="C82" s="467" t="s">
        <v>329</v>
      </c>
      <c r="D82" s="467" t="s">
        <v>330</v>
      </c>
      <c r="E82" s="467" t="s">
        <v>331</v>
      </c>
      <c r="F82" s="467" t="s">
        <v>332</v>
      </c>
      <c r="G82" s="467" t="s">
        <v>333</v>
      </c>
      <c r="H82" s="467" t="s">
        <v>334</v>
      </c>
      <c r="I82" s="467" t="s">
        <v>335</v>
      </c>
      <c r="J82" s="467" t="s">
        <v>336</v>
      </c>
      <c r="K82" s="467" t="s">
        <v>337</v>
      </c>
      <c r="L82" s="467" t="s">
        <v>338</v>
      </c>
      <c r="M82" s="467" t="s">
        <v>339</v>
      </c>
      <c r="N82" s="467" t="s">
        <v>340</v>
      </c>
      <c r="O82" s="467" t="s">
        <v>341</v>
      </c>
      <c r="P82" s="467" t="s">
        <v>342</v>
      </c>
      <c r="Q82" s="467" t="s">
        <v>343</v>
      </c>
      <c r="R82" s="467" t="s">
        <v>344</v>
      </c>
      <c r="S82" s="467" t="s">
        <v>345</v>
      </c>
      <c r="T82" s="467" t="s">
        <v>346</v>
      </c>
      <c r="U82" s="467" t="s">
        <v>347</v>
      </c>
      <c r="V82" s="467" t="s">
        <v>348</v>
      </c>
      <c r="W82" s="467" t="s">
        <v>349</v>
      </c>
      <c r="X82" s="467" t="s">
        <v>350</v>
      </c>
      <c r="Y82" s="467" t="s">
        <v>351</v>
      </c>
      <c r="Z82" s="467" t="s">
        <v>564</v>
      </c>
      <c r="AA82" s="178" t="e">
        <f t="shared" ref="E82:AG82" si="28">Z82+1</f>
        <v>#VALUE!</v>
      </c>
      <c r="AB82" s="178" t="e">
        <f t="shared" si="28"/>
        <v>#VALUE!</v>
      </c>
      <c r="AC82" s="178" t="e">
        <f t="shared" si="28"/>
        <v>#VALUE!</v>
      </c>
      <c r="AD82" s="178" t="e">
        <f t="shared" si="28"/>
        <v>#VALUE!</v>
      </c>
      <c r="AE82" s="178" t="e">
        <f t="shared" si="28"/>
        <v>#VALUE!</v>
      </c>
      <c r="AF82" s="178" t="e">
        <f t="shared" si="28"/>
        <v>#VALUE!</v>
      </c>
      <c r="AG82" s="178" t="e">
        <f t="shared" si="28"/>
        <v>#VALUE!</v>
      </c>
    </row>
    <row r="83" spans="2:33" x14ac:dyDescent="0.25">
      <c r="B83" s="802"/>
      <c r="C83" s="179">
        <f t="shared" ref="C83:AG83" si="29">C5</f>
        <v>1</v>
      </c>
      <c r="D83" s="178">
        <f t="shared" si="29"/>
        <v>2</v>
      </c>
      <c r="E83" s="178">
        <f t="shared" si="29"/>
        <v>3</v>
      </c>
      <c r="F83" s="178">
        <f t="shared" si="29"/>
        <v>4</v>
      </c>
      <c r="G83" s="178">
        <f t="shared" si="29"/>
        <v>5</v>
      </c>
      <c r="H83" s="178">
        <f t="shared" si="29"/>
        <v>6</v>
      </c>
      <c r="I83" s="178">
        <f t="shared" si="29"/>
        <v>7</v>
      </c>
      <c r="J83" s="178">
        <f t="shared" si="29"/>
        <v>8</v>
      </c>
      <c r="K83" s="178">
        <f t="shared" si="29"/>
        <v>9</v>
      </c>
      <c r="L83" s="178">
        <f t="shared" si="29"/>
        <v>10</v>
      </c>
      <c r="M83" s="178">
        <f t="shared" si="29"/>
        <v>11</v>
      </c>
      <c r="N83" s="178">
        <f t="shared" si="29"/>
        <v>12</v>
      </c>
      <c r="O83" s="178">
        <f t="shared" si="29"/>
        <v>13</v>
      </c>
      <c r="P83" s="178">
        <f t="shared" si="29"/>
        <v>14</v>
      </c>
      <c r="Q83" s="178">
        <f t="shared" si="29"/>
        <v>15</v>
      </c>
      <c r="R83" s="178">
        <f t="shared" si="29"/>
        <v>16</v>
      </c>
      <c r="S83" s="178">
        <f t="shared" si="29"/>
        <v>17</v>
      </c>
      <c r="T83" s="178">
        <f t="shared" si="29"/>
        <v>18</v>
      </c>
      <c r="U83" s="178">
        <f t="shared" si="29"/>
        <v>19</v>
      </c>
      <c r="V83" s="178">
        <f t="shared" si="29"/>
        <v>20</v>
      </c>
      <c r="W83" s="178">
        <f t="shared" si="29"/>
        <v>21</v>
      </c>
      <c r="X83" s="178">
        <f t="shared" si="29"/>
        <v>22</v>
      </c>
      <c r="Y83" s="178">
        <f t="shared" si="29"/>
        <v>23</v>
      </c>
      <c r="Z83" s="178">
        <f t="shared" si="29"/>
        <v>24</v>
      </c>
      <c r="AA83" s="178">
        <f t="shared" si="29"/>
        <v>25</v>
      </c>
      <c r="AB83" s="178">
        <f t="shared" si="29"/>
        <v>26</v>
      </c>
      <c r="AC83" s="178">
        <f t="shared" si="29"/>
        <v>27</v>
      </c>
      <c r="AD83" s="178">
        <f t="shared" si="29"/>
        <v>28</v>
      </c>
      <c r="AE83" s="178">
        <f t="shared" si="29"/>
        <v>29</v>
      </c>
      <c r="AF83" s="178">
        <f t="shared" si="29"/>
        <v>30</v>
      </c>
      <c r="AG83" s="178">
        <f t="shared" si="29"/>
        <v>31</v>
      </c>
    </row>
    <row r="84" spans="2:33" x14ac:dyDescent="0.25">
      <c r="B84" s="199" t="s">
        <v>252</v>
      </c>
      <c r="C84" s="432">
        <f>+C85+C86-C87</f>
        <v>-1082506.7491739865</v>
      </c>
      <c r="D84" s="432">
        <f t="shared" ref="D84:AD84" si="30">+D85+D86-D87</f>
        <v>95230.842393755927</v>
      </c>
      <c r="E84" s="432">
        <f>+E85+E86-E87</f>
        <v>95455.558619668096</v>
      </c>
      <c r="F84" s="432">
        <f t="shared" si="30"/>
        <v>95682.555232303086</v>
      </c>
      <c r="G84" s="432">
        <f t="shared" si="30"/>
        <v>95911.855700017419</v>
      </c>
      <c r="H84" s="432">
        <f t="shared" si="30"/>
        <v>96143.483739141026</v>
      </c>
      <c r="I84" s="432">
        <f t="shared" si="30"/>
        <v>96377.463316722584</v>
      </c>
      <c r="J84" s="432">
        <f t="shared" si="30"/>
        <v>90597.380297143696</v>
      </c>
      <c r="K84" s="432">
        <f t="shared" si="30"/>
        <v>96852.574225751974</v>
      </c>
      <c r="L84" s="432">
        <f t="shared" si="30"/>
        <v>97093.75477006282</v>
      </c>
      <c r="M84" s="432">
        <f t="shared" si="30"/>
        <v>97337.385284282092</v>
      </c>
      <c r="N84" s="432">
        <f t="shared" si="30"/>
        <v>97583.491031398196</v>
      </c>
      <c r="O84" s="432">
        <f t="shared" si="30"/>
        <v>97832.097542295174</v>
      </c>
      <c r="P84" s="432">
        <f t="shared" si="30"/>
        <v>92066.792262572693</v>
      </c>
      <c r="Q84" s="432">
        <f t="shared" si="30"/>
        <v>98336.916336388036</v>
      </c>
      <c r="R84" s="432">
        <f t="shared" si="30"/>
        <v>98593.181047868944</v>
      </c>
      <c r="S84" s="432">
        <f t="shared" si="30"/>
        <v>98852.05138585133</v>
      </c>
      <c r="T84" s="432">
        <f t="shared" si="30"/>
        <v>99113.554266187944</v>
      </c>
      <c r="U84" s="432">
        <f t="shared" si="30"/>
        <v>99377.716891081611</v>
      </c>
      <c r="V84" s="432">
        <f t="shared" si="30"/>
        <v>99644.566752293191</v>
      </c>
      <c r="W84" s="432">
        <f t="shared" si="30"/>
        <v>99914.131634387144</v>
      </c>
      <c r="X84" s="432">
        <f t="shared" si="30"/>
        <v>100186.4396180177</v>
      </c>
      <c r="Y84" s="432">
        <f t="shared" si="30"/>
        <v>100461.51908325459</v>
      </c>
      <c r="Z84" s="200">
        <f t="shared" si="30"/>
        <v>0</v>
      </c>
      <c r="AA84" s="200">
        <f t="shared" si="30"/>
        <v>0</v>
      </c>
      <c r="AB84" s="200">
        <f t="shared" si="30"/>
        <v>0</v>
      </c>
      <c r="AC84" s="200">
        <f t="shared" si="30"/>
        <v>0</v>
      </c>
      <c r="AD84" s="200">
        <f t="shared" si="30"/>
        <v>0</v>
      </c>
      <c r="AE84" s="200">
        <f>+AE85+AE86-AE87</f>
        <v>0</v>
      </c>
      <c r="AF84" s="200">
        <f>+AF85+AF86-AF87</f>
        <v>0</v>
      </c>
      <c r="AG84" s="200"/>
    </row>
    <row r="85" spans="2:33" x14ac:dyDescent="0.25">
      <c r="B85" s="201" t="s">
        <v>253</v>
      </c>
      <c r="C85" s="202">
        <f>IF(C5&lt;=IN!$C$47,(C15)*(1+IN!$C$53)*IN!$C$61+Investimenti!G10*(1+IN!$C$53)*IN!$C$61,0)</f>
        <v>163255.67353749773</v>
      </c>
      <c r="D85" s="202">
        <f>IF(D5&lt;=IN!$C$47,(D15)*(1+IN!$C$53)*IN!$C$61+Investimenti!H10*(1+IN!$C$53)*IN!$C$61,0)</f>
        <v>164527.05179321894</v>
      </c>
      <c r="E85" s="202">
        <f>IF(E5&lt;=IN!$C$47,(E15)*(1+IN!$C$53)*IN!$C$61+Investimenti!I10*(1+IN!$C$53)*IN!$C$61,0)</f>
        <v>165818.50533032857</v>
      </c>
      <c r="F85" s="202">
        <f>IF(F5&lt;=IN!$C$47,(F15)*(1+IN!$C$53)*IN!$C$61+Investimenti!J10*(1+IN!$C$53)*IN!$C$61,0)</f>
        <v>167130.38213161708</v>
      </c>
      <c r="G85" s="202">
        <f>IF(G5&lt;=IN!$C$47,(G15)*(1+IN!$C$53)*IN!$C$61+Investimenti!K10*(1+IN!$C$53)*IN!$C$61,0)</f>
        <v>168463.03660430241</v>
      </c>
      <c r="H85" s="202">
        <f>IF(H5&lt;=IN!$C$47,(H15)*(1+IN!$C$53)*IN!$C$61+Investimenti!L10*(1+IN!$C$53)*IN!$C$61,0)</f>
        <v>169816.82970316627</v>
      </c>
      <c r="I85" s="202">
        <f>IF(I5&lt;=IN!$C$47,(I15)*(1+IN!$C$53)*IN!$C$61+Investimenti!M10*(1+IN!$C$53)*IN!$C$61,0)</f>
        <v>171192.12905609942</v>
      </c>
      <c r="J85" s="202">
        <f>IF(J5&lt;=IN!$C$47,(J15)*(1+IN!$C$53)*IN!$C$61+Investimenti!N10*(1+IN!$C$53)*IN!$C$61,0)</f>
        <v>172589.30909210423</v>
      </c>
      <c r="K85" s="202">
        <f>IF(K5&lt;=IN!$C$47,(K15)*(1+IN!$C$53)*IN!$C$61+Investimenti!O10*(1+IN!$C$53)*IN!$C$61,0)</f>
        <v>174008.7511718022</v>
      </c>
      <c r="L85" s="202">
        <f>IF(L5&lt;=IN!$C$47,(L15)*(1+IN!$C$53)*IN!$C$61+Investimenti!P10*(1+IN!$C$53)*IN!$C$61,0)</f>
        <v>175450.84372049695</v>
      </c>
      <c r="M85" s="202">
        <f>IF(M5&lt;=IN!$C$47,(M15)*(1+IN!$C$53)*IN!$C$61+Investimenti!Q10*(1+IN!$C$53)*IN!$C$61,0)</f>
        <v>176915.98236384246</v>
      </c>
      <c r="N85" s="202">
        <f>IF(N5&lt;=IN!$C$47,(N15)*(1+IN!$C$53)*IN!$C$61+Investimenti!R10*(1+IN!$C$53)*IN!$C$61,0)</f>
        <v>178404.57006616847</v>
      </c>
      <c r="O85" s="202">
        <f>IF(O5&lt;=IN!$C$47,(O15)*(1+IN!$C$53)*IN!$C$61+Investimenti!S10*(1+IN!$C$53)*IN!$C$61,0)</f>
        <v>179917.01727151577</v>
      </c>
      <c r="P85" s="202">
        <f>IF(P5&lt;=IN!$C$47,(P15)*(1+IN!$C$53)*IN!$C$61+Investimenti!T10*(1+IN!$C$53)*IN!$C$61,0)</f>
        <v>181453.7420474345</v>
      </c>
      <c r="Q85" s="202">
        <f>IF(Q5&lt;=IN!$C$47,(Q15)*(1+IN!$C$53)*IN!$C$61+Investimenti!U10*(1+IN!$C$53)*IN!$C$61,0)</f>
        <v>183015.17023160079</v>
      </c>
      <c r="R85" s="202">
        <f>IF(R5&lt;=IN!$C$47,(R15)*(1+IN!$C$53)*IN!$C$61+Investimenti!V10*(1+IN!$C$53)*IN!$C$61,0)</f>
        <v>184601.73558130677</v>
      </c>
      <c r="S85" s="202">
        <f>IF(S5&lt;=IN!$C$47,(S15)*(1+IN!$C$53)*IN!$C$61+Investimenti!W10*(1+IN!$C$53)*IN!$C$61,0)</f>
        <v>186213.87992588192</v>
      </c>
      <c r="T85" s="202">
        <f>IF(T5&lt;=IN!$C$47,(T15)*(1+IN!$C$53)*IN!$C$61+Investimenti!X10*(1+IN!$C$53)*IN!$C$61,0)</f>
        <v>187852.05332210235</v>
      </c>
      <c r="U85" s="202">
        <f>IF(U5&lt;=IN!$C$47,(U15)*(1+IN!$C$53)*IN!$C$61+Investimenti!Y10*(1+IN!$C$53)*IN!$C$61,0)</f>
        <v>189516.7142126484</v>
      </c>
      <c r="V85" s="202">
        <f>IF(V5&lt;=IN!$C$47,(V15)*(1+IN!$C$53)*IN!$C$61+Investimenti!Z10*(1+IN!$C$53)*IN!$C$61,0)</f>
        <v>191208.32958767071</v>
      </c>
      <c r="W85" s="202">
        <f>IF(W5&lt;=IN!$C$47,(W15)*(1+IN!$C$53)*IN!$C$61+Investimenti!AA10*(1+IN!$C$53)*IN!$C$61,0)</f>
        <v>192927.37514952541</v>
      </c>
      <c r="X85" s="202">
        <f>IF(X5&lt;=IN!$C$47,(X15)*(1+IN!$C$53)*IN!$C$61+Investimenti!AB10*(1+IN!$C$53)*IN!$C$61,0)</f>
        <v>194674.33548074248</v>
      </c>
      <c r="Y85" s="202">
        <f>IF(Y5&lt;=IN!$C$47,(Y15)*(1+IN!$C$53)*IN!$C$61+Investimenti!AC10*(1+IN!$C$53)*IN!$C$61,0)</f>
        <v>196449.70421529043</v>
      </c>
      <c r="Z85" s="202">
        <f>IF(Z5&lt;=IN!$C$47,(Z15)*(1+IN!$C$53)*IN!$C$61+Investimenti!AD10*(1+IN!$C$53)*IN!$C$61,0)</f>
        <v>0</v>
      </c>
      <c r="AA85" s="202">
        <f>IF(AA5&lt;=IN!$C$47,(AA15)*(1+IN!$C$53)*IN!$C$61+Investimenti!AE10*(1+IN!$C$53)*IN!$C$61,0)</f>
        <v>0</v>
      </c>
      <c r="AB85" s="202">
        <f>IF(AB5&lt;=IN!$C$47,(AB15)*(1+IN!$C$53)*IN!$C$61+Investimenti!AF10*(1+IN!$C$53)*IN!$C$61,0)</f>
        <v>0</v>
      </c>
      <c r="AC85" s="202">
        <f>IF(AC5&lt;=IN!$C$47,(AC15)*(1+IN!$C$53)*IN!$C$61+Investimenti!AG10*(1+IN!$C$53)*IN!$C$61,0)</f>
        <v>0</v>
      </c>
      <c r="AD85" s="202">
        <f>IF(AD5&lt;=IN!$C$47,(AD15)*(1+IN!$C$53)*IN!$C$61+Investimenti!AH10*(1+IN!$C$53)*IN!$C$61,0)</f>
        <v>0</v>
      </c>
      <c r="AE85" s="202">
        <f>IF(AE5&lt;=IN!$C$47,(AE15)*(1+IN!$C$53)*IN!$C$61+Investimenti!AI10*(1+IN!$C$53)*IN!$C$61,0)</f>
        <v>0</v>
      </c>
      <c r="AF85" s="202">
        <f>IF(AF5&lt;=IN!$C$47,(AF15)*(1+IN!$C$53)*IN!$C$61+Investimenti!AJ10*(1+IN!$C$53)*IN!$C$61,0)</f>
        <v>0</v>
      </c>
      <c r="AG85" s="202"/>
    </row>
    <row r="86" spans="2:33" x14ac:dyDescent="0.25">
      <c r="B86" s="203" t="s">
        <v>254</v>
      </c>
      <c r="C86" s="202">
        <v>0</v>
      </c>
      <c r="D86" s="202">
        <v>0</v>
      </c>
      <c r="E86" s="202">
        <v>0</v>
      </c>
      <c r="F86" s="202">
        <v>0</v>
      </c>
      <c r="G86" s="202">
        <v>0</v>
      </c>
      <c r="H86" s="202">
        <v>0</v>
      </c>
      <c r="I86" s="202">
        <v>0</v>
      </c>
      <c r="J86" s="202">
        <v>0</v>
      </c>
      <c r="K86" s="202">
        <v>0</v>
      </c>
      <c r="L86" s="202">
        <v>0</v>
      </c>
      <c r="M86" s="202">
        <v>0</v>
      </c>
      <c r="N86" s="202">
        <v>0</v>
      </c>
      <c r="O86" s="202">
        <v>0</v>
      </c>
      <c r="P86" s="202">
        <v>0</v>
      </c>
      <c r="Q86" s="202">
        <v>0</v>
      </c>
      <c r="R86" s="202">
        <v>0</v>
      </c>
      <c r="S86" s="202">
        <v>0</v>
      </c>
      <c r="T86" s="202">
        <v>0</v>
      </c>
      <c r="U86" s="202">
        <v>0</v>
      </c>
      <c r="V86" s="202">
        <v>0</v>
      </c>
      <c r="W86" s="202">
        <v>0</v>
      </c>
      <c r="X86" s="202">
        <v>0</v>
      </c>
      <c r="Y86" s="202">
        <v>0</v>
      </c>
      <c r="Z86" s="202">
        <v>0</v>
      </c>
      <c r="AA86" s="202">
        <v>0</v>
      </c>
      <c r="AB86" s="202">
        <v>0</v>
      </c>
      <c r="AC86" s="202">
        <v>0</v>
      </c>
      <c r="AD86" s="202">
        <v>0</v>
      </c>
      <c r="AE86" s="202">
        <v>0</v>
      </c>
      <c r="AF86" s="202">
        <v>0</v>
      </c>
      <c r="AG86" s="202"/>
    </row>
    <row r="87" spans="2:33" x14ac:dyDescent="0.25">
      <c r="B87" s="204" t="s">
        <v>255</v>
      </c>
      <c r="C87" s="205">
        <f>IF(C5&lt;=IN!$C$47,(SUM(C16:C28,C35)*IN!$C$62*(1+IN!$C$53)+(Investimenti!G9-Investimenti!G20-Investimenti!G24-Investimenti!G28-Investimenti!G32)*IN!$C$62*(1+IN!$C$53)),0)</f>
        <v>1245762.4227114841</v>
      </c>
      <c r="D87" s="205">
        <f>IF(D5&lt;=IN!$C$47,(SUM(D16:D28,D35)*IN!$C$62*(1+IN!$C$53)+(Investimenti!H9-Investimenti!H20-Investimenti!H24-Investimenti!H28-Investimenti!H32)*IN!$C$62*(1+IN!$C$53)),0)</f>
        <v>69296.209399463012</v>
      </c>
      <c r="E87" s="205">
        <f>IF(E5&lt;=IN!$C$47,(SUM(E16:E28,E35)*IN!$C$62*(1+IN!$C$53)+(Investimenti!I9-Investimenti!I20-Investimenti!I24-Investimenti!I28-Investimenti!I32)*IN!$C$62*(1+IN!$C$53)),0)</f>
        <v>70362.946710660472</v>
      </c>
      <c r="F87" s="205">
        <f>IF(F5&lt;=IN!$C$47,(SUM(F16:F28,F35)*IN!$C$62*(1+IN!$C$53)+(Investimenti!J9-Investimenti!J20-Investimenti!J24-Investimenti!J28-Investimenti!J32)*IN!$C$62*(1+IN!$C$53)),0)</f>
        <v>71447.826899313994</v>
      </c>
      <c r="G87" s="205">
        <f>IF(G5&lt;=IN!$C$47,(SUM(G16:G28,G35)*IN!$C$62*(1+IN!$C$53)+(Investimenti!K9-Investimenti!K20-Investimenti!K24-Investimenti!K28-Investimenti!K32)*IN!$C$62*(1+IN!$C$53)),0)</f>
        <v>72551.180904284993</v>
      </c>
      <c r="H87" s="205">
        <f>IF(H5&lt;=IN!$C$47,(SUM(H16:H28,H35)*IN!$C$62*(1+IN!$C$53)+(Investimenti!L9-Investimenti!L20-Investimenti!L24-Investimenti!L28-Investimenti!L32)*IN!$C$62*(1+IN!$C$53)),0)</f>
        <v>73673.34596402524</v>
      </c>
      <c r="I87" s="205">
        <f>IF(I5&lt;=IN!$C$47,(SUM(I16:I28,I35)*IN!$C$62*(1+IN!$C$53)+(Investimenti!M9-Investimenti!M20-Investimenti!M24-Investimenti!M28-Investimenti!M32)*IN!$C$62*(1+IN!$C$53)),0)</f>
        <v>74814.66573937684</v>
      </c>
      <c r="J87" s="205">
        <f>IF(J5&lt;=IN!$C$47,(SUM(J16:J28,J35)*IN!$C$62*(1+IN!$C$53)+(Investimenti!N9-Investimenti!N20-Investimenti!N24-Investimenti!N28-Investimenti!N32)*IN!$C$62*(1+IN!$C$53)),0)</f>
        <v>81991.928794960535</v>
      </c>
      <c r="K87" s="205">
        <f>IF(K5&lt;=IN!$C$47,(SUM(K16:K28,K35)*IN!$C$62*(1+IN!$C$53)+(Investimenti!O9-Investimenti!O20-Investimenti!O24-Investimenti!O28-Investimenti!O32)*IN!$C$62*(1+IN!$C$53)),0)</f>
        <v>77156.176946050226</v>
      </c>
      <c r="L87" s="205">
        <f>IF(L5&lt;=IN!$C$47,(SUM(L16:L28,L35)*IN!$C$62*(1+IN!$C$53)+(Investimenti!P9-Investimenti!P20-Investimenti!P24-Investimenti!P28-Investimenti!P32)*IN!$C$62*(1+IN!$C$53)),0)</f>
        <v>78357.088950434132</v>
      </c>
      <c r="M87" s="205">
        <f>IF(M5&lt;=IN!$C$47,(SUM(M16:M28,M35)*IN!$C$62*(1+IN!$C$53)+(Investimenti!Q9-Investimenti!Q20-Investimenti!Q24-Investimenti!Q28-Investimenti!Q32)*IN!$C$62*(1+IN!$C$53)),0)</f>
        <v>79578.597079560364</v>
      </c>
      <c r="N87" s="205">
        <f>IF(N5&lt;=IN!$C$47,(SUM(N16:N28,N35)*IN!$C$62*(1+IN!$C$53)+(Investimenti!R9-Investimenti!R20-Investimenti!R24-Investimenti!R28-Investimenti!R32)*IN!$C$62*(1+IN!$C$53)),0)</f>
        <v>80821.079034770271</v>
      </c>
      <c r="O87" s="205">
        <f>IF(O5&lt;=IN!$C$47,(SUM(O16:O28,O35)*IN!$C$62*(1+IN!$C$53)+(Investimenti!S9-Investimenti!S20-Investimenti!S24-Investimenti!S28-Investimenti!S32)*IN!$C$62*(1+IN!$C$53)),0)</f>
        <v>82084.919729220594</v>
      </c>
      <c r="P87" s="205">
        <f>IF(P5&lt;=IN!$C$47,(SUM(P16:P28,P35)*IN!$C$62*(1+IN!$C$53)+(Investimenti!T9-Investimenti!T20-Investimenti!T24-Investimenti!T28-Investimenti!T32)*IN!$C$62*(1+IN!$C$53)),0)</f>
        <v>89386.949784861805</v>
      </c>
      <c r="Q87" s="205">
        <f>IF(Q5&lt;=IN!$C$47,(SUM(Q16:Q28,Q35)*IN!$C$62*(1+IN!$C$53)+(Investimenti!U9-Investimenti!U20-Investimenti!U24-Investimenti!U28-Investimenti!U32)*IN!$C$62*(1+IN!$C$53)),0)</f>
        <v>84678.253895212751</v>
      </c>
      <c r="R87" s="205">
        <f>IF(R5&lt;=IN!$C$47,(SUM(R16:R28,R35)*IN!$C$62*(1+IN!$C$53)+(Investimenti!V9-Investimenti!V20-Investimenti!V24-Investimenti!V28-Investimenti!V32)*IN!$C$62*(1+IN!$C$53)),0)</f>
        <v>86008.554533437826</v>
      </c>
      <c r="S87" s="205">
        <f>IF(S5&lt;=IN!$C$47,(SUM(S16:S28,S35)*IN!$C$62*(1+IN!$C$53)+(Investimenti!W9-Investimenti!W20-Investimenti!W24-Investimenti!W28-Investimenti!W32)*IN!$C$62*(1+IN!$C$53)),0)</f>
        <v>87361.82854003059</v>
      </c>
      <c r="T87" s="205">
        <f>IF(T5&lt;=IN!$C$47,(SUM(T16:T28,T35)*IN!$C$62*(1+IN!$C$53)+(Investimenti!X9-Investimenti!X20-Investimenti!X24-Investimenti!X28-Investimenti!X32)*IN!$C$62*(1+IN!$C$53)),0)</f>
        <v>88738.499055914406</v>
      </c>
      <c r="U87" s="205">
        <f>IF(U5&lt;=IN!$C$47,(SUM(U16:U28,U35)*IN!$C$62*(1+IN!$C$53)+(Investimenti!Y9-Investimenti!Y20-Investimenti!Y24-Investimenti!Y28-Investimenti!Y32)*IN!$C$62*(1+IN!$C$53)),0)</f>
        <v>90138.997321566785</v>
      </c>
      <c r="V87" s="205">
        <f>IF(V5&lt;=IN!$C$47,(SUM(V16:V28,V35)*IN!$C$62*(1+IN!$C$53)+(Investimenti!Z9-Investimenti!Z20-Investimenti!Z24-Investimenti!Z28-Investimenti!Z32)*IN!$C$62*(1+IN!$C$53)),0)</f>
        <v>91563.762835377522</v>
      </c>
      <c r="W87" s="205">
        <f>IF(W5&lt;=IN!$C$47,(SUM(W16:W28,W35)*IN!$C$62*(1+IN!$C$53)+(Investimenti!AA9-Investimenti!AA20-Investimenti!AA24-Investimenti!AA28-Investimenti!AA32)*IN!$C$62*(1+IN!$C$53)),0)</f>
        <v>93013.243515138267</v>
      </c>
      <c r="X87" s="205">
        <f>IF(X5&lt;=IN!$C$47,(SUM(X16:X28,X35)*IN!$C$62*(1+IN!$C$53)+(Investimenti!AB9-Investimenti!AB20-Investimenti!AB24-Investimenti!AB28-Investimenti!AB32)*IN!$C$62*(1+IN!$C$53)),0)</f>
        <v>94487.895862724778</v>
      </c>
      <c r="Y87" s="205">
        <f>IF(Y5&lt;=IN!$C$47,(SUM(Y16:Y28,Y35)*IN!$C$62*(1+IN!$C$53)+(Investimenti!AC9-Investimenti!AC20-Investimenti!AC24-Investimenti!AC28-Investimenti!AC32)*IN!$C$62*(1+IN!$C$53)),0)</f>
        <v>95988.18513203584</v>
      </c>
      <c r="Z87" s="205">
        <f>IF(Z5&lt;=IN!$C$47,(SUM(Z16:Z28,Z35)*IN!$C$62*(1+IN!$C$53)+(Investimenti!AD9-Investimenti!AD20-Investimenti!AD24-Investimenti!AD28-Investimenti!AD32)*IN!$C$62*(1+IN!$C$53)),0)</f>
        <v>0</v>
      </c>
      <c r="AA87" s="205">
        <f>IF(AA5&lt;=IN!$C$47,(SUM(AA16:AA28,AA35)*IN!$C$62*(1+IN!$C$53)+(Investimenti!AE9-Investimenti!AE20-Investimenti!AE24-Investimenti!AE28-Investimenti!AE32)*IN!$C$62*(1+IN!$C$53)),0)</f>
        <v>0</v>
      </c>
      <c r="AB87" s="205">
        <f>IF(AB5&lt;=IN!$C$47,(SUM(AB16:AB28,AB35)*IN!$C$62*(1+IN!$C$53)+(Investimenti!AF9-Investimenti!AF20-Investimenti!AF24-Investimenti!AF28-Investimenti!AF32)*IN!$C$62*(1+IN!$C$53)),0)</f>
        <v>0</v>
      </c>
      <c r="AC87" s="205">
        <f>IF(AC5&lt;=IN!$C$47,(SUM(AC16:AC28,AC35)*IN!$C$62*(1+IN!$C$53)+(Investimenti!AG9-Investimenti!AG20-Investimenti!AG24-Investimenti!AG28-Investimenti!AG32)*IN!$C$62*(1+IN!$C$53)),0)</f>
        <v>0</v>
      </c>
      <c r="AD87" s="205">
        <f>IF(AD5&lt;=IN!$C$47,(SUM(AD16:AD28,AD35)*IN!$C$62*(1+IN!$C$53)+(Investimenti!AH9-Investimenti!AH20-Investimenti!AH24-Investimenti!AH28-Investimenti!AH32)*IN!$C$62*(1+IN!$C$53)),0)</f>
        <v>0</v>
      </c>
      <c r="AE87" s="205">
        <f>IF(AE5&lt;=IN!$C$47,(SUM(AE16:AE28,AE35)*IN!$C$62*(1+IN!$C$53)+(Investimenti!AI9-Investimenti!AI20-Investimenti!AI24-Investimenti!AI28-Investimenti!AI32)*IN!$C$62*(1+IN!$C$53)),0)</f>
        <v>0</v>
      </c>
      <c r="AF87" s="205">
        <f>IF(AF5&lt;=IN!$C$47,(SUM(AF16:AF28,AF35)*IN!$C$62*(1+IN!$C$53)+(Investimenti!AJ9-Investimenti!AJ20-Investimenti!AJ24-Investimenti!AJ28-Investimenti!AJ32)*IN!$C$62*(1+IN!$C$53)),0)</f>
        <v>0</v>
      </c>
      <c r="AG87" s="205"/>
    </row>
    <row r="88" spans="2:33" x14ac:dyDescent="0.25">
      <c r="B88" s="206"/>
      <c r="C88" s="198"/>
      <c r="D88" s="198"/>
      <c r="E88" s="198"/>
      <c r="F88" s="198"/>
      <c r="G88" s="198"/>
      <c r="H88" s="198"/>
      <c r="I88" s="198"/>
      <c r="J88" s="198"/>
      <c r="K88" s="198"/>
      <c r="L88" s="198"/>
      <c r="M88" s="198"/>
      <c r="N88" s="198"/>
      <c r="O88" s="198"/>
      <c r="P88" s="198"/>
      <c r="Q88" s="198"/>
      <c r="R88" s="198"/>
      <c r="S88" s="198"/>
      <c r="T88" s="198"/>
      <c r="U88" s="198"/>
      <c r="V88" s="198"/>
      <c r="W88" s="198"/>
      <c r="X88" s="198"/>
      <c r="Y88" s="198"/>
      <c r="Z88" s="198"/>
      <c r="AA88" s="198"/>
      <c r="AB88" s="198"/>
      <c r="AC88" s="198"/>
      <c r="AD88" s="198"/>
      <c r="AE88" s="198"/>
      <c r="AF88" s="198"/>
      <c r="AG88" s="198"/>
    </row>
    <row r="89" spans="2:33" x14ac:dyDescent="0.25">
      <c r="B89" s="801" t="s">
        <v>143</v>
      </c>
      <c r="C89" s="467" t="s">
        <v>329</v>
      </c>
      <c r="D89" s="467" t="s">
        <v>330</v>
      </c>
      <c r="E89" s="467" t="s">
        <v>331</v>
      </c>
      <c r="F89" s="467" t="s">
        <v>332</v>
      </c>
      <c r="G89" s="467" t="s">
        <v>333</v>
      </c>
      <c r="H89" s="467" t="s">
        <v>334</v>
      </c>
      <c r="I89" s="467" t="s">
        <v>335</v>
      </c>
      <c r="J89" s="467" t="s">
        <v>336</v>
      </c>
      <c r="K89" s="467" t="s">
        <v>337</v>
      </c>
      <c r="L89" s="467" t="s">
        <v>338</v>
      </c>
      <c r="M89" s="467" t="s">
        <v>339</v>
      </c>
      <c r="N89" s="467" t="s">
        <v>340</v>
      </c>
      <c r="O89" s="467" t="s">
        <v>341</v>
      </c>
      <c r="P89" s="467" t="s">
        <v>342</v>
      </c>
      <c r="Q89" s="467" t="s">
        <v>343</v>
      </c>
      <c r="R89" s="467" t="s">
        <v>344</v>
      </c>
      <c r="S89" s="467" t="s">
        <v>345</v>
      </c>
      <c r="T89" s="467" t="s">
        <v>346</v>
      </c>
      <c r="U89" s="467" t="s">
        <v>347</v>
      </c>
      <c r="V89" s="467" t="s">
        <v>348</v>
      </c>
      <c r="W89" s="467" t="s">
        <v>349</v>
      </c>
      <c r="X89" s="467" t="s">
        <v>350</v>
      </c>
      <c r="Y89" s="467" t="s">
        <v>351</v>
      </c>
      <c r="Z89" s="178" t="e">
        <f t="shared" ref="E89:AF89" si="31">Y89+1</f>
        <v>#VALUE!</v>
      </c>
      <c r="AA89" s="178" t="e">
        <f t="shared" si="31"/>
        <v>#VALUE!</v>
      </c>
      <c r="AB89" s="178" t="e">
        <f t="shared" si="31"/>
        <v>#VALUE!</v>
      </c>
      <c r="AC89" s="178" t="e">
        <f t="shared" si="31"/>
        <v>#VALUE!</v>
      </c>
      <c r="AD89" s="178" t="e">
        <f t="shared" si="31"/>
        <v>#VALUE!</v>
      </c>
      <c r="AE89" s="178" t="e">
        <f t="shared" si="31"/>
        <v>#VALUE!</v>
      </c>
      <c r="AF89" s="178" t="e">
        <f t="shared" si="31"/>
        <v>#VALUE!</v>
      </c>
      <c r="AG89" s="178" t="e">
        <f>AE89+1</f>
        <v>#VALUE!</v>
      </c>
    </row>
    <row r="90" spans="2:33" x14ac:dyDescent="0.25">
      <c r="B90" s="802"/>
      <c r="C90" s="179">
        <f>C5</f>
        <v>1</v>
      </c>
      <c r="D90" s="178">
        <f t="shared" ref="D90:AG90" si="32">D5</f>
        <v>2</v>
      </c>
      <c r="E90" s="178">
        <f t="shared" si="32"/>
        <v>3</v>
      </c>
      <c r="F90" s="178">
        <f t="shared" si="32"/>
        <v>4</v>
      </c>
      <c r="G90" s="178">
        <f t="shared" si="32"/>
        <v>5</v>
      </c>
      <c r="H90" s="178">
        <f t="shared" si="32"/>
        <v>6</v>
      </c>
      <c r="I90" s="178">
        <f t="shared" si="32"/>
        <v>7</v>
      </c>
      <c r="J90" s="178">
        <f t="shared" si="32"/>
        <v>8</v>
      </c>
      <c r="K90" s="178">
        <f t="shared" si="32"/>
        <v>9</v>
      </c>
      <c r="L90" s="178">
        <f t="shared" si="32"/>
        <v>10</v>
      </c>
      <c r="M90" s="178">
        <f t="shared" si="32"/>
        <v>11</v>
      </c>
      <c r="N90" s="178">
        <f t="shared" si="32"/>
        <v>12</v>
      </c>
      <c r="O90" s="178">
        <f t="shared" si="32"/>
        <v>13</v>
      </c>
      <c r="P90" s="178">
        <f t="shared" si="32"/>
        <v>14</v>
      </c>
      <c r="Q90" s="178">
        <f t="shared" si="32"/>
        <v>15</v>
      </c>
      <c r="R90" s="178">
        <f t="shared" si="32"/>
        <v>16</v>
      </c>
      <c r="S90" s="178">
        <f t="shared" si="32"/>
        <v>17</v>
      </c>
      <c r="T90" s="178">
        <f t="shared" si="32"/>
        <v>18</v>
      </c>
      <c r="U90" s="178">
        <f t="shared" si="32"/>
        <v>19</v>
      </c>
      <c r="V90" s="178">
        <f t="shared" si="32"/>
        <v>20</v>
      </c>
      <c r="W90" s="178">
        <f t="shared" si="32"/>
        <v>21</v>
      </c>
      <c r="X90" s="178">
        <f t="shared" si="32"/>
        <v>22</v>
      </c>
      <c r="Y90" s="178">
        <f t="shared" si="32"/>
        <v>23</v>
      </c>
      <c r="Z90" s="178">
        <f t="shared" si="32"/>
        <v>24</v>
      </c>
      <c r="AA90" s="178">
        <f t="shared" si="32"/>
        <v>25</v>
      </c>
      <c r="AB90" s="178">
        <f t="shared" si="32"/>
        <v>26</v>
      </c>
      <c r="AC90" s="178">
        <f t="shared" si="32"/>
        <v>27</v>
      </c>
      <c r="AD90" s="178">
        <f t="shared" si="32"/>
        <v>28</v>
      </c>
      <c r="AE90" s="178">
        <f t="shared" si="32"/>
        <v>29</v>
      </c>
      <c r="AF90" s="178">
        <f t="shared" si="32"/>
        <v>30</v>
      </c>
      <c r="AG90" s="178">
        <f t="shared" si="32"/>
        <v>31</v>
      </c>
    </row>
    <row r="91" spans="2:33" x14ac:dyDescent="0.25">
      <c r="B91" s="207" t="s">
        <v>256</v>
      </c>
      <c r="C91" s="208">
        <f>C84</f>
        <v>-1082506.7491739865</v>
      </c>
      <c r="D91" s="209">
        <f>IF(D5&lt;=(IN!$C$47+1),(D84-C84),0)</f>
        <v>1177737.5915677424</v>
      </c>
      <c r="E91" s="209">
        <f>IF(E5&lt;=(IN!$C$47+1),(E84-D84),0)</f>
        <v>224.71622591216874</v>
      </c>
      <c r="F91" s="209">
        <f>IF(F5&lt;=(IN!$C$47+1),(F84-E84),0)</f>
        <v>226.99661263499002</v>
      </c>
      <c r="G91" s="209">
        <f>IF(G5&lt;=(IN!$C$47+1),(G84-F84),0)</f>
        <v>229.30046771433263</v>
      </c>
      <c r="H91" s="209">
        <f>IF(H5&lt;=(IN!$C$47+1),(H84-G84),0)</f>
        <v>231.62803912360687</v>
      </c>
      <c r="I91" s="209">
        <f>IF(I5&lt;=(IN!$C$47+1),(I84-H84),0)</f>
        <v>233.97957758155826</v>
      </c>
      <c r="J91" s="209">
        <f>IF(J5&lt;=(IN!$C$47+1),(J84-I84),0)</f>
        <v>-5780.0830195788876</v>
      </c>
      <c r="K91" s="209">
        <f>IF(K5&lt;=(IN!$C$47+1),(K84-J84),0)</f>
        <v>6255.1939286082779</v>
      </c>
      <c r="L91" s="209">
        <f>IF(L5&lt;=(IN!$C$47+1),(L84-K84),0)</f>
        <v>241.18054431084602</v>
      </c>
      <c r="M91" s="209">
        <f>IF(M5&lt;=(IN!$C$47+1),(M84-L84),0)</f>
        <v>243.6305142192723</v>
      </c>
      <c r="N91" s="209">
        <f>IF(N5&lt;=(IN!$C$47+1),(N84-M84),0)</f>
        <v>246.10574711610388</v>
      </c>
      <c r="O91" s="209">
        <f>IF(O5&lt;=(IN!$C$47+1),(O84-N84),0)</f>
        <v>248.60651089697785</v>
      </c>
      <c r="P91" s="209">
        <f>IF(P5&lt;=(IN!$C$47+1),(P84-O84),0)</f>
        <v>-5765.3052797224809</v>
      </c>
      <c r="Q91" s="209">
        <f>IF(Q5&lt;=(IN!$C$47+1),(Q84-P84),0)</f>
        <v>6270.1240738153429</v>
      </c>
      <c r="R91" s="209">
        <f>IF(R5&lt;=(IN!$C$47+1),(R84-Q84),0)</f>
        <v>256.26471148090786</v>
      </c>
      <c r="S91" s="209">
        <f>IF(S5&lt;=(IN!$C$47+1),(S84-R84),0)</f>
        <v>258.87033798238554</v>
      </c>
      <c r="T91" s="209">
        <f>IF(T5&lt;=(IN!$C$47+1),(T84-S84),0)</f>
        <v>261.50288033661491</v>
      </c>
      <c r="U91" s="209">
        <f>IF(U5&lt;=(IN!$C$47+1),(U84-T84),0)</f>
        <v>264.16262489366636</v>
      </c>
      <c r="V91" s="209">
        <f>IF(V5&lt;=(IN!$C$47+1),(V84-U84),0)</f>
        <v>266.84986121157999</v>
      </c>
      <c r="W91" s="209">
        <f>IF(W5&lt;=(IN!$C$47+1),(W84-V84),0)</f>
        <v>269.5648820939532</v>
      </c>
      <c r="X91" s="209">
        <f>IF(X5&lt;=(IN!$C$47+1),(X84-W84),0)</f>
        <v>272.3079836305551</v>
      </c>
      <c r="Y91" s="209">
        <f>IF(Y5&lt;=(IN!$C$47+1),(Y84-X84),0)</f>
        <v>275.07946523689316</v>
      </c>
      <c r="Z91" s="209">
        <f>IF(Z5&lt;=(IN!$C$47+1),(Z84-Y84),0)</f>
        <v>-100461.51908325459</v>
      </c>
      <c r="AA91" s="209">
        <f>IF(AA5&lt;=(IN!$C$47+1),(AA84-Z84),0)</f>
        <v>0</v>
      </c>
      <c r="AB91" s="209">
        <f>IF(AB5&lt;=(IN!$C$47+1),(AB84-AA84),0)</f>
        <v>0</v>
      </c>
      <c r="AC91" s="209">
        <f>IF(AC5&lt;=(IN!$C$47+1),(AC84-AB84),0)</f>
        <v>0</v>
      </c>
      <c r="AD91" s="209">
        <f>IF(AD5&lt;=(IN!$C$47+1),(AD84-AC84),0)</f>
        <v>0</v>
      </c>
      <c r="AE91" s="209">
        <f>IF(AE5&lt;=(IN!$C$47+1),(AE84-AD84),0)</f>
        <v>0</v>
      </c>
      <c r="AF91" s="209">
        <f>IF(AF5&lt;=(IN!$C$47+1),(AF84-AE84),0)</f>
        <v>0</v>
      </c>
      <c r="AG91" s="210">
        <f>IF(AG5&lt;=(IN!$C$47+1),(AG84-AF84),0)</f>
        <v>0</v>
      </c>
    </row>
    <row r="92" spans="2:33" x14ac:dyDescent="0.25">
      <c r="B92" s="99"/>
      <c r="C92" s="99"/>
      <c r="D92" s="113"/>
      <c r="E92" s="113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99"/>
      <c r="Z92" s="99"/>
      <c r="AA92" s="99"/>
      <c r="AB92" s="99"/>
      <c r="AC92" s="99"/>
      <c r="AD92" s="99"/>
      <c r="AE92" s="99"/>
      <c r="AF92" s="99"/>
      <c r="AG92" s="113"/>
    </row>
    <row r="93" spans="2:33" x14ac:dyDescent="0.25">
      <c r="B93" s="99"/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99"/>
      <c r="X93" s="99"/>
      <c r="Y93" s="99"/>
      <c r="Z93" s="99"/>
      <c r="AA93" s="99"/>
      <c r="AB93" s="99"/>
      <c r="AC93" s="99"/>
      <c r="AD93" s="99"/>
      <c r="AE93" s="99"/>
      <c r="AF93" s="99"/>
      <c r="AG93" s="99"/>
    </row>
    <row r="94" spans="2:33" x14ac:dyDescent="0.25">
      <c r="B94" s="142"/>
      <c r="C94" s="142"/>
      <c r="D94" s="142"/>
      <c r="E94" s="142"/>
      <c r="F94" s="142"/>
      <c r="G94" s="142"/>
      <c r="H94" s="142"/>
      <c r="I94" s="142"/>
      <c r="J94" s="142"/>
      <c r="K94" s="142"/>
      <c r="L94" s="142"/>
      <c r="M94" s="143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142"/>
      <c r="AD94" s="142"/>
      <c r="AE94" s="142"/>
      <c r="AF94" s="142"/>
      <c r="AG94" s="142"/>
    </row>
    <row r="95" spans="2:33" x14ac:dyDescent="0.25">
      <c r="C95" s="410"/>
    </row>
  </sheetData>
  <mergeCells count="3">
    <mergeCell ref="B4:B5"/>
    <mergeCell ref="B82:B83"/>
    <mergeCell ref="B89:B90"/>
  </mergeCells>
  <phoneticPr fontId="78" type="noConversion"/>
  <pageMargins left="7.874015748031496E-2" right="7.874015748031496E-2" top="0.59055118110236227" bottom="0.59055118110236227" header="7.874015748031496E-2" footer="7.874015748031496E-2"/>
  <pageSetup paperSize="9" scale="48" orientation="landscape" r:id="rId1"/>
  <headerFooter scaleWithDoc="0" alignWithMargins="0">
    <oddFooter>&amp;CConto economico e capitale circolante - Ipotesi 2&amp;RPag 7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operator="greaterThan" id="{1FC6B7EE-14B0-48D4-9789-4E1F3743D670}">
            <xm:f>IN!$C$47+1</xm:f>
            <x14:dxf>
              <font>
                <b val="0"/>
                <i val="0"/>
                <color rgb="FF353599"/>
              </font>
              <fill>
                <patternFill patternType="solid">
                  <bgColor rgb="FF353599"/>
                </patternFill>
              </fill>
            </x14:dxf>
          </x14:cfRule>
          <xm:sqref>C5:AG5</xm:sqref>
        </x14:conditionalFormatting>
        <x14:conditionalFormatting xmlns:xm="http://schemas.microsoft.com/office/excel/2006/main">
          <x14:cfRule type="cellIs" priority="2" operator="greaterThan" id="{45F0B3A5-E3C2-44B4-B7ED-819E99A0DA5A}">
            <xm:f>IN!$C$52+1</xm:f>
            <x14:dxf>
              <font>
                <color rgb="FF353599"/>
              </font>
              <fill>
                <patternFill>
                  <fgColor rgb="FF353599"/>
                </patternFill>
              </fill>
            </x14:dxf>
          </x14:cfRule>
          <xm:sqref>AA82:AG82</xm:sqref>
        </x14:conditionalFormatting>
        <x14:conditionalFormatting xmlns:xm="http://schemas.microsoft.com/office/excel/2006/main">
          <x14:cfRule type="cellIs" priority="4" operator="greaterThan" id="{DD6734CB-CEB7-431C-BBA2-C4331A835CE3}">
            <xm:f>IN!$C$47+1</xm:f>
            <x14:dxf>
              <font>
                <b val="0"/>
                <i val="0"/>
                <color rgb="FF353599"/>
              </font>
              <fill>
                <patternFill patternType="solid">
                  <bgColor rgb="FF353599"/>
                </patternFill>
              </fill>
            </x14:dxf>
          </x14:cfRule>
          <xm:sqref>C83:AG83</xm:sqref>
        </x14:conditionalFormatting>
        <x14:conditionalFormatting xmlns:xm="http://schemas.microsoft.com/office/excel/2006/main">
          <x14:cfRule type="cellIs" priority="1" operator="greaterThan" id="{8A2EF1C1-53C0-43F4-A7BC-987B2AFDCC72}">
            <xm:f>IN!$C$52+1</xm:f>
            <x14:dxf>
              <font>
                <color rgb="FF353599"/>
              </font>
              <fill>
                <patternFill>
                  <fgColor rgb="FF353599"/>
                </patternFill>
              </fill>
            </x14:dxf>
          </x14:cfRule>
          <xm:sqref>Z89:AG89</xm:sqref>
        </x14:conditionalFormatting>
        <x14:conditionalFormatting xmlns:xm="http://schemas.microsoft.com/office/excel/2006/main">
          <x14:cfRule type="cellIs" priority="3" operator="greaterThan" id="{5810A9F4-7EDF-48D9-8349-FCDA2D37E38B}">
            <xm:f>IN!$C$47+1</xm:f>
            <x14:dxf>
              <font>
                <b val="0"/>
                <i val="0"/>
                <color rgb="FF353599"/>
              </font>
              <fill>
                <patternFill patternType="solid">
                  <bgColor rgb="FF353599"/>
                </patternFill>
              </fill>
            </x14:dxf>
          </x14:cfRule>
          <xm:sqref>C90:AG90</xm:sqref>
        </x14:conditionalFormatting>
        <x14:conditionalFormatting xmlns:xm="http://schemas.microsoft.com/office/excel/2006/main">
          <x14:cfRule type="cellIs" priority="6" operator="greaterThan" id="{75F7F75F-3CD0-417F-91D1-56FAEDCF9D4A}">
            <xm:f>IN!$C$52+1</xm:f>
            <x14:dxf>
              <font>
                <b val="0"/>
                <i val="0"/>
                <color rgb="FF353599"/>
              </font>
              <fill>
                <patternFill patternType="solid">
                  <bgColor rgb="FF353599"/>
                </patternFill>
              </fill>
            </x14:dxf>
          </x14:cfRule>
          <xm:sqref>AA4:AG4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BAE10-56F6-4F3D-9855-43C2B3D28AB8}">
  <sheetPr codeName="Foglio13">
    <tabColor theme="4" tint="0.59999389629810485"/>
    <pageSetUpPr fitToPage="1"/>
  </sheetPr>
  <dimension ref="B1:AH94"/>
  <sheetViews>
    <sheetView topLeftCell="C26" zoomScaleNormal="100" workbookViewId="0">
      <selection activeCell="C73" sqref="C73"/>
    </sheetView>
  </sheetViews>
  <sheetFormatPr defaultRowHeight="15" outlineLevelRow="1" x14ac:dyDescent="0.25"/>
  <cols>
    <col min="1" max="1" width="2.7109375" customWidth="1"/>
    <col min="2" max="2" width="44.5703125" customWidth="1"/>
    <col min="3" max="33" width="10.7109375" customWidth="1"/>
  </cols>
  <sheetData>
    <row r="1" spans="2:33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2:33" ht="23.25" x14ac:dyDescent="0.35">
      <c r="B2" s="175" t="s">
        <v>257</v>
      </c>
      <c r="C2" s="175"/>
      <c r="D2" s="175"/>
      <c r="E2" s="175"/>
      <c r="F2" s="175"/>
      <c r="G2" s="175"/>
      <c r="H2" s="175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</row>
    <row r="3" spans="2:33" ht="15.75" x14ac:dyDescent="0.25">
      <c r="B3" s="334" t="s">
        <v>206</v>
      </c>
      <c r="C3" s="129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</row>
    <row r="4" spans="2:33" x14ac:dyDescent="0.25">
      <c r="B4" s="803" t="s">
        <v>143</v>
      </c>
      <c r="C4" s="467" t="s">
        <v>329</v>
      </c>
      <c r="D4" s="467" t="s">
        <v>330</v>
      </c>
      <c r="E4" s="467" t="s">
        <v>331</v>
      </c>
      <c r="F4" s="467" t="s">
        <v>332</v>
      </c>
      <c r="G4" s="467" t="s">
        <v>333</v>
      </c>
      <c r="H4" s="467" t="s">
        <v>334</v>
      </c>
      <c r="I4" s="467" t="s">
        <v>335</v>
      </c>
      <c r="J4" s="467" t="s">
        <v>336</v>
      </c>
      <c r="K4" s="467" t="s">
        <v>337</v>
      </c>
      <c r="L4" s="467" t="s">
        <v>338</v>
      </c>
      <c r="M4" s="467" t="s">
        <v>339</v>
      </c>
      <c r="N4" s="467" t="s">
        <v>340</v>
      </c>
      <c r="O4" s="467" t="s">
        <v>341</v>
      </c>
      <c r="P4" s="467" t="s">
        <v>342</v>
      </c>
      <c r="Q4" s="467" t="s">
        <v>343</v>
      </c>
      <c r="R4" s="467" t="s">
        <v>344</v>
      </c>
      <c r="S4" s="467" t="s">
        <v>345</v>
      </c>
      <c r="T4" s="467" t="s">
        <v>346</v>
      </c>
      <c r="U4" s="467" t="s">
        <v>347</v>
      </c>
      <c r="V4" s="467" t="s">
        <v>348</v>
      </c>
      <c r="W4" s="467" t="s">
        <v>349</v>
      </c>
      <c r="X4" s="467" t="s">
        <v>350</v>
      </c>
      <c r="Y4" s="467" t="s">
        <v>351</v>
      </c>
      <c r="Z4" s="467" t="s">
        <v>564</v>
      </c>
      <c r="AA4" s="212" t="e">
        <f t="shared" ref="E4:AG5" si="0">Z4+1</f>
        <v>#VALUE!</v>
      </c>
      <c r="AB4" s="212" t="e">
        <f t="shared" si="0"/>
        <v>#VALUE!</v>
      </c>
      <c r="AC4" s="212" t="e">
        <f t="shared" si="0"/>
        <v>#VALUE!</v>
      </c>
      <c r="AD4" s="212" t="e">
        <f t="shared" si="0"/>
        <v>#VALUE!</v>
      </c>
      <c r="AE4" s="212" t="e">
        <f t="shared" si="0"/>
        <v>#VALUE!</v>
      </c>
      <c r="AF4" s="212" t="e">
        <f t="shared" si="0"/>
        <v>#VALUE!</v>
      </c>
      <c r="AG4" s="212" t="e">
        <f t="shared" si="0"/>
        <v>#VALUE!</v>
      </c>
    </row>
    <row r="5" spans="2:33" x14ac:dyDescent="0.25">
      <c r="B5" s="804"/>
      <c r="C5" s="211">
        <v>1</v>
      </c>
      <c r="D5" s="212">
        <f>C5+1</f>
        <v>2</v>
      </c>
      <c r="E5" s="212">
        <f t="shared" si="0"/>
        <v>3</v>
      </c>
      <c r="F5" s="212">
        <f t="shared" si="0"/>
        <v>4</v>
      </c>
      <c r="G5" s="212">
        <f t="shared" si="0"/>
        <v>5</v>
      </c>
      <c r="H5" s="212">
        <f t="shared" si="0"/>
        <v>6</v>
      </c>
      <c r="I5" s="212">
        <f t="shared" si="0"/>
        <v>7</v>
      </c>
      <c r="J5" s="212">
        <f t="shared" si="0"/>
        <v>8</v>
      </c>
      <c r="K5" s="212">
        <f t="shared" si="0"/>
        <v>9</v>
      </c>
      <c r="L5" s="212">
        <f t="shared" si="0"/>
        <v>10</v>
      </c>
      <c r="M5" s="212">
        <f t="shared" si="0"/>
        <v>11</v>
      </c>
      <c r="N5" s="212">
        <f t="shared" si="0"/>
        <v>12</v>
      </c>
      <c r="O5" s="212">
        <f t="shared" si="0"/>
        <v>13</v>
      </c>
      <c r="P5" s="212">
        <f t="shared" si="0"/>
        <v>14</v>
      </c>
      <c r="Q5" s="212">
        <f t="shared" si="0"/>
        <v>15</v>
      </c>
      <c r="R5" s="212">
        <f t="shared" si="0"/>
        <v>16</v>
      </c>
      <c r="S5" s="212">
        <f t="shared" si="0"/>
        <v>17</v>
      </c>
      <c r="T5" s="212">
        <f t="shared" si="0"/>
        <v>18</v>
      </c>
      <c r="U5" s="212">
        <f t="shared" si="0"/>
        <v>19</v>
      </c>
      <c r="V5" s="212">
        <f t="shared" si="0"/>
        <v>20</v>
      </c>
      <c r="W5" s="212">
        <f t="shared" si="0"/>
        <v>21</v>
      </c>
      <c r="X5" s="212">
        <f t="shared" si="0"/>
        <v>22</v>
      </c>
      <c r="Y5" s="212">
        <f t="shared" si="0"/>
        <v>23</v>
      </c>
      <c r="Z5" s="212">
        <f t="shared" si="0"/>
        <v>24</v>
      </c>
      <c r="AA5" s="212">
        <f t="shared" si="0"/>
        <v>25</v>
      </c>
      <c r="AB5" s="212">
        <f t="shared" si="0"/>
        <v>26</v>
      </c>
      <c r="AC5" s="212">
        <f t="shared" si="0"/>
        <v>27</v>
      </c>
      <c r="AD5" s="212">
        <f t="shared" si="0"/>
        <v>28</v>
      </c>
      <c r="AE5" s="212">
        <f t="shared" si="0"/>
        <v>29</v>
      </c>
      <c r="AF5" s="212">
        <f t="shared" si="0"/>
        <v>30</v>
      </c>
      <c r="AG5" s="212">
        <f t="shared" si="0"/>
        <v>31</v>
      </c>
    </row>
    <row r="6" spans="2:33" x14ac:dyDescent="0.25">
      <c r="B6" s="322" t="s">
        <v>258</v>
      </c>
      <c r="C6" s="324">
        <f>'CE CC opz2'!C40</f>
        <v>-226985.12434734972</v>
      </c>
      <c r="D6" s="324">
        <f>'CE CC opz2'!D40</f>
        <v>237841.56852585022</v>
      </c>
      <c r="E6" s="324">
        <f>'CE CC opz2'!E40</f>
        <v>238943.1600578143</v>
      </c>
      <c r="F6" s="324">
        <f>'CE CC opz2'!F40</f>
        <v>240055.93317353065</v>
      </c>
      <c r="G6" s="324">
        <f>'CE CC opz2'!G40</f>
        <v>241180.00300220519</v>
      </c>
      <c r="H6" s="324">
        <f>'CE CC opz2'!H40</f>
        <v>242315.48589060406</v>
      </c>
      <c r="I6" s="324">
        <f>'CE CC opz2'!I40</f>
        <v>243462.49941655292</v>
      </c>
      <c r="J6" s="324">
        <f>'CE CC opz2'!J40</f>
        <v>214621.16240260084</v>
      </c>
      <c r="K6" s="324">
        <f>'CE CC opz2'!K40</f>
        <v>245791.59492984504</v>
      </c>
      <c r="L6" s="324">
        <f>'CE CC opz2'!L40</f>
        <v>246973.91835192483</v>
      </c>
      <c r="M6" s="324">
        <f>'CE CC opz2'!M40</f>
        <v>248168.2553091794</v>
      </c>
      <c r="N6" s="324">
        <f>'CE CC opz2'!N40</f>
        <v>249374.72974297989</v>
      </c>
      <c r="O6" s="324">
        <f>'CE CC opz2'!O40</f>
        <v>250593.46691023107</v>
      </c>
      <c r="P6" s="324">
        <f>'CE CC opz2'!P40</f>
        <v>221824.59339804974</v>
      </c>
      <c r="Q6" s="324">
        <f>'CE CC opz2'!Q40</f>
        <v>253068.23713861956</v>
      </c>
      <c r="R6" s="324">
        <f>'CE CC opz2'!R40</f>
        <v>254324.52742422497</v>
      </c>
      <c r="S6" s="324">
        <f>'CE CC opz2'!S40</f>
        <v>255593.59492246967</v>
      </c>
      <c r="T6" s="324">
        <f>'CE CC opz2'!T40</f>
        <v>256875.57169167549</v>
      </c>
      <c r="U6" s="324">
        <f>'CE CC opz2'!U40</f>
        <v>258170.5911964711</v>
      </c>
      <c r="V6" s="324">
        <f>'CE CC opz2'!V40</f>
        <v>259478.78832357124</v>
      </c>
      <c r="W6" s="324">
        <f>'CE CC opz2'!W40</f>
        <v>261212.76774779541</v>
      </c>
      <c r="X6" s="324">
        <f>'CE CC opz2'!X40</f>
        <v>262570.58761152718</v>
      </c>
      <c r="Y6" s="324">
        <f>'CE CC opz2'!Y40</f>
        <v>263942.22702151979</v>
      </c>
      <c r="Z6" s="324">
        <f>'CE CC opz2'!Z40</f>
        <v>0</v>
      </c>
      <c r="AA6" s="324">
        <f>'CE CC opz2'!AA40</f>
        <v>0</v>
      </c>
      <c r="AB6" s="324">
        <f>'CE CC opz2'!AB40</f>
        <v>0</v>
      </c>
      <c r="AC6" s="324">
        <f>'CE CC opz2'!AC40</f>
        <v>0</v>
      </c>
      <c r="AD6" s="324">
        <f>'CE CC opz2'!AD40</f>
        <v>0</v>
      </c>
      <c r="AE6" s="324">
        <f>'CE CC opz2'!AE40</f>
        <v>0</v>
      </c>
      <c r="AF6" s="324">
        <f>'CE CC opz2'!AF40</f>
        <v>0</v>
      </c>
      <c r="AG6" s="324"/>
    </row>
    <row r="7" spans="2:33" x14ac:dyDescent="0.25">
      <c r="B7" s="322" t="s">
        <v>259</v>
      </c>
      <c r="C7" s="324">
        <f>'CE CC opz2'!C39</f>
        <v>235119.70527066509</v>
      </c>
      <c r="D7" s="324">
        <f>'CE CC opz2'!D39</f>
        <v>235119.70527066509</v>
      </c>
      <c r="E7" s="324">
        <f>'CE CC opz2'!E39</f>
        <v>235119.70527066509</v>
      </c>
      <c r="F7" s="324">
        <f>'CE CC opz2'!F39</f>
        <v>235119.70527066509</v>
      </c>
      <c r="G7" s="324">
        <f>'CE CC opz2'!G39</f>
        <v>235119.70527066509</v>
      </c>
      <c r="H7" s="324">
        <f>'CE CC opz2'!H39</f>
        <v>235119.70527066509</v>
      </c>
      <c r="I7" s="324">
        <f>'CE CC opz2'!I39</f>
        <v>235119.70527066509</v>
      </c>
      <c r="J7" s="324">
        <f>'CE CC opz2'!J39</f>
        <v>235119.70527066509</v>
      </c>
      <c r="K7" s="324">
        <f>'CE CC opz2'!K39</f>
        <v>235119.70527066509</v>
      </c>
      <c r="L7" s="324">
        <f>'CE CC opz2'!L39</f>
        <v>235119.70527066509</v>
      </c>
      <c r="M7" s="324">
        <f>'CE CC opz2'!M39</f>
        <v>235119.70527066509</v>
      </c>
      <c r="N7" s="324">
        <f>'CE CC opz2'!N39</f>
        <v>235119.70527066509</v>
      </c>
      <c r="O7" s="324">
        <f>'CE CC opz2'!O39</f>
        <v>235119.70527066509</v>
      </c>
      <c r="P7" s="324">
        <f>'CE CC opz2'!P39</f>
        <v>235119.70527066509</v>
      </c>
      <c r="Q7" s="324">
        <f>'CE CC opz2'!Q39</f>
        <v>235119.70527066509</v>
      </c>
      <c r="R7" s="324">
        <f>'CE CC opz2'!R39</f>
        <v>235119.70527066509</v>
      </c>
      <c r="S7" s="324">
        <f>'CE CC opz2'!S39</f>
        <v>235119.70527066509</v>
      </c>
      <c r="T7" s="324">
        <f>'CE CC opz2'!T39</f>
        <v>235119.70527066509</v>
      </c>
      <c r="U7" s="324">
        <f>'CE CC opz2'!U39</f>
        <v>235119.70527066509</v>
      </c>
      <c r="V7" s="324">
        <f>'CE CC opz2'!V39</f>
        <v>235119.70527066509</v>
      </c>
      <c r="W7" s="324">
        <f>'CE CC opz2'!W39</f>
        <v>235119.70527066509</v>
      </c>
      <c r="X7" s="324">
        <f>'CE CC opz2'!X39</f>
        <v>235119.70527066509</v>
      </c>
      <c r="Y7" s="324">
        <f>'CE CC opz2'!Y39</f>
        <v>235119.70527066509</v>
      </c>
      <c r="Z7" s="324">
        <f>'CE CC opz2'!Z39</f>
        <v>0</v>
      </c>
      <c r="AA7" s="324">
        <f>'CE CC opz2'!AA39</f>
        <v>0</v>
      </c>
      <c r="AB7" s="324">
        <f>'CE CC opz2'!AB39</f>
        <v>0</v>
      </c>
      <c r="AC7" s="324">
        <f>'CE CC opz2'!AC39</f>
        <v>0</v>
      </c>
      <c r="AD7" s="324">
        <f>'CE CC opz2'!AD39</f>
        <v>0</v>
      </c>
      <c r="AE7" s="324">
        <f>'CE CC opz2'!AE39</f>
        <v>0</v>
      </c>
      <c r="AF7" s="324">
        <f>'CE CC opz2'!AF39</f>
        <v>0</v>
      </c>
      <c r="AG7" s="324"/>
    </row>
    <row r="8" spans="2:33" x14ac:dyDescent="0.25">
      <c r="B8" s="322" t="s">
        <v>260</v>
      </c>
      <c r="C8" s="324">
        <f>IF(C5&lt;=IN!$C$47,IF(C6&gt;0,-C6*IN!$C$54,0),0)+IF(C5&lt;=IN!$C$47,IF((C6+'CE CC opz2'!C32)&gt;0,-(C6+'CE CC opz2'!C32)*IN!$C$55,0),0)</f>
        <v>0</v>
      </c>
      <c r="D8" s="324">
        <f>IF(D5&lt;=IN!$C$47,IF(D6&gt;0,-D6*IN!$C$54,0),0)+IF(D5&lt;=IN!$C$47,IF((D6+'CE CC opz2'!D32)&gt;0,-(D6+'CE CC opz2'!D32)*IN!$C$55,0),0)</f>
        <v>-67150.785080249756</v>
      </c>
      <c r="E8" s="324">
        <f>IF(E5&lt;=IN!$C$47,IF(E6&gt;0,-E6*IN!$C$54,0),0)+IF(E5&lt;=IN!$C$47,IF((E6+'CE CC opz2'!E32)&gt;0,-(E6+'CE CC opz2'!E32)*IN!$C$55,0),0)</f>
        <v>-67462.228519823228</v>
      </c>
      <c r="F8" s="324">
        <f>IF(F5&lt;=IN!$C$47,IF(F6&gt;0,-F6*IN!$C$54,0),0)+IF(F5&lt;=IN!$C$47,IF((F6+'CE CC opz2'!F32)&gt;0,-(F6+'CE CC opz2'!F32)*IN!$C$55,0),0)</f>
        <v>-67776.833112290435</v>
      </c>
      <c r="G8" s="324">
        <f>IF(G5&lt;=IN!$C$47,IF(G6&gt;0,-G6*IN!$C$54,0),0)+IF(G5&lt;=IN!$C$47,IF((G6+'CE CC opz2'!G32)&gt;0,-(G6+'CE CC opz2'!G32)*IN!$C$55,0),0)</f>
        <v>-68094.631403550215</v>
      </c>
      <c r="H8" s="324">
        <f>IF(H5&lt;=IN!$C$47,IF(H6&gt;0,-H6*IN!$C$54,0),0)+IF(H5&lt;=IN!$C$47,IF((H6+'CE CC opz2'!H32)&gt;0,-(H6+'CE CC opz2'!H32)*IN!$C$55,0),0)</f>
        <v>-68415.656283647972</v>
      </c>
      <c r="I8" s="324">
        <f>IF(I5&lt;=IN!$C$47,IF(I6&gt;0,-I6*IN!$C$54,0),0)+IF(I5&lt;=IN!$C$47,IF((I6+'CE CC opz2'!I32)&gt;0,-(I6+'CE CC opz2'!I32)*IN!$C$55,0),0)</f>
        <v>-68739.94099059052</v>
      </c>
      <c r="J8" s="324">
        <f>IF(J5&lt;=IN!$C$47,IF(J6&gt;0,-J6*IN!$C$54,0),0)+IF(J5&lt;=IN!$C$47,IF((J6+'CE CC opz2'!J32)&gt;0,-(J6+'CE CC opz2'!J32)*IN!$C$55,0),0)</f>
        <v>-60607.519114207265</v>
      </c>
      <c r="K8" s="324">
        <f>IF(K5&lt;=IN!$C$47,IF(K6&gt;0,-K6*IN!$C$54,0),0)+IF(K5&lt;=IN!$C$47,IF((K6+'CE CC opz2'!K32)&gt;0,-(K6+'CE CC opz2'!K32)*IN!$C$55,0),0)</f>
        <v>-69398.424600056867</v>
      </c>
      <c r="L8" s="324">
        <f>IF(L5&lt;=IN!$C$47,IF(L6&gt;0,-L6*IN!$C$54,0),0)+IF(L5&lt;=IN!$C$47,IF((L6+'CE CC opz2'!L32)&gt;0,-(L6+'CE CC opz2'!L32)*IN!$C$55,0),0)</f>
        <v>-69732.691753381776</v>
      </c>
      <c r="M8" s="324">
        <f>IF(M5&lt;=IN!$C$47,IF(M6&gt;0,-M6*IN!$C$54,0),0)+IF(M5&lt;=IN!$C$47,IF((M6+'CE CC opz2'!M32)&gt;0,-(M6+'CE CC opz2'!M32)*IN!$C$55,0),0)</f>
        <v>-70070.355243108948</v>
      </c>
      <c r="N8" s="324">
        <f>IF(N5&lt;=IN!$C$47,IF(N6&gt;0,-N6*IN!$C$54,0),0)+IF(N5&lt;=IN!$C$47,IF((N6+'CE CC opz2'!N32)&gt;0,-(N6+'CE CC opz2'!N32)*IN!$C$55,0),0)</f>
        <v>-70411.450105899901</v>
      </c>
      <c r="O8" s="324">
        <f>IF(O5&lt;=IN!$C$47,IF(O6&gt;0,-O6*IN!$C$54,0),0)+IF(O5&lt;=IN!$C$47,IF((O6+'CE CC opz2'!O32)&gt;0,-(O6+'CE CC opz2'!O32)*IN!$C$55,0),0)</f>
        <v>-70756.011750248523</v>
      </c>
      <c r="P8" s="324">
        <f>IF(P5&lt;=IN!$C$47,IF(P6&gt;0,-P6*IN!$C$54,0),0)+IF(P5&lt;=IN!$C$47,IF((P6+'CE CC opz2'!P32)&gt;0,-(P6+'CE CC opz2'!P32)*IN!$C$55,0),0)</f>
        <v>-62644.075960629023</v>
      </c>
      <c r="Q8" s="324">
        <f>IF(Q5&lt;=IN!$C$47,IF(Q6&gt;0,-Q6*IN!$C$54,0),0)+IF(Q5&lt;=IN!$C$47,IF((Q6+'CE CC opz2'!Q32)&gt;0,-(Q6+'CE CC opz2'!Q32)*IN!$C$55,0),0)</f>
        <v>-71455.678901693507</v>
      </c>
      <c r="R8" s="324">
        <f>IF(R5&lt;=IN!$C$47,IF(R6&gt;0,-R6*IN!$C$54,0),0)+IF(R5&lt;=IN!$C$47,IF((R6+'CE CC opz2'!R32)&gt;0,-(R6+'CE CC opz2'!R32)*IN!$C$55,0),0)</f>
        <v>-71810.857122520247</v>
      </c>
      <c r="S8" s="324">
        <f>IF(S5&lt;=IN!$C$47,IF(S6&gt;0,-S6*IN!$C$54,0),0)+IF(S5&lt;=IN!$C$47,IF((S6+'CE CC opz2'!S32)&gt;0,-(S6+'CE CC opz2'!S32)*IN!$C$55,0),0)</f>
        <v>-72169.647560914149</v>
      </c>
      <c r="T8" s="324">
        <f>IF(T5&lt;=IN!$C$47,IF(T6&gt;0,-T6*IN!$C$54,0),0)+IF(T5&lt;=IN!$C$47,IF((T6+'CE CC opz2'!T32)&gt;0,-(T6+'CE CC opz2'!T32)*IN!$C$55,0),0)</f>
        <v>-72532.087547757968</v>
      </c>
      <c r="U8" s="324">
        <f>IF(U5&lt;=IN!$C$47,IF(U6&gt;0,-U6*IN!$C$54,0),0)+IF(U5&lt;=IN!$C$47,IF((U6+'CE CC opz2'!U32)&gt;0,-(U6+'CE CC opz2'!U32)*IN!$C$55,0),0)</f>
        <v>-72898.214811417376</v>
      </c>
      <c r="V8" s="324">
        <f>IF(V5&lt;=IN!$C$47,IF(V6&gt;0,-V6*IN!$C$54,0),0)+IF(V5&lt;=IN!$C$47,IF((V6+'CE CC opz2'!V32)&gt;0,-(V6+'CE CC opz2'!V32)*IN!$C$55,0),0)</f>
        <v>-73268.067482199753</v>
      </c>
      <c r="W8" s="324">
        <f>IF(W5&lt;=IN!$C$47,IF(W6&gt;0,-W6*IN!$C$54,0),0)+IF(W5&lt;=IN!$C$47,IF((W6+'CE CC opz2'!W32)&gt;0,-(W6+'CE CC opz2'!W32)*IN!$C$55,0),0)</f>
        <v>-73740.676500878311</v>
      </c>
      <c r="X8" s="324">
        <f>IF(X5&lt;=IN!$C$47,IF(X6&gt;0,-X6*IN!$C$54,0),0)+IF(X5&lt;=IN!$C$47,IF((X6+'CE CC opz2'!X32)&gt;0,-(X6+'CE CC opz2'!X32)*IN!$C$55,0),0)</f>
        <v>-74123.581702450669</v>
      </c>
      <c r="Y8" s="324">
        <f>IF(Y5&lt;=IN!$C$47,IF(Y6&gt;0,-Y6*IN!$C$54,0),0)+IF(Y5&lt;=IN!$C$47,IF((Y6+'CE CC opz2'!Y32)&gt;0,-(Y6+'CE CC opz2'!Y32)*IN!$C$55,0),0)</f>
        <v>-74510.38401606858</v>
      </c>
      <c r="Z8" s="324">
        <f>IF(Z5&lt;=IN!$C$47,IF(Z6&gt;0,-Z6*IN!$C$54,0),0)+IF(Z5&lt;=IN!$C$47,IF((Z6+'CE CC opz2'!Z32)&gt;0,-(Z6+'CE CC opz2'!Z32)*IN!$C$55,0),0)</f>
        <v>0</v>
      </c>
      <c r="AA8" s="324">
        <f>IF(AA5&lt;=IN!$C$47,IF(AA6&gt;0,-AA6*IN!$C$54,0),0)+IF(AA5&lt;=IN!$C$47,IF((AA6+'CE CC opz2'!AA32)&gt;0,-(AA6+'CE CC opz2'!AA32)*IN!$C$55,0),0)</f>
        <v>0</v>
      </c>
      <c r="AB8" s="324">
        <f>IF(AB5&lt;=IN!$C$47,IF(AB6&gt;0,-AB6*IN!$C$54,0),0)+IF(AB5&lt;=IN!$C$47,IF((AB6+'CE CC opz2'!AB32)&gt;0,-(AB6+'CE CC opz2'!AB32)*IN!$C$55,0),0)</f>
        <v>0</v>
      </c>
      <c r="AC8" s="324">
        <f>IF(AC5&lt;=IN!$C$47,IF(AC6&gt;0,-AC6*IN!$C$54,0),0)+IF(AC5&lt;=IN!$C$47,IF((AC6+'CE CC opz2'!AC32)&gt;0,-(AC6+'CE CC opz2'!AC32)*IN!$C$55,0),0)</f>
        <v>0</v>
      </c>
      <c r="AD8" s="324">
        <f>IF(AD5&lt;=IN!$C$47,IF(AD6&gt;0,-AD6*IN!$C$54,0),0)+IF(AD5&lt;=IN!$C$47,IF((AD6+'CE CC opz2'!AD32)&gt;0,-(AD6+'CE CC opz2'!AD32)*IN!$C$55,0),0)</f>
        <v>0</v>
      </c>
      <c r="AE8" s="324">
        <f>IF(AE5&lt;=IN!$C$47,IF(AE6&gt;0,-AE6*IN!$C$54,0),0)+IF(AE5&lt;=IN!$C$47,IF((AE6+'CE CC opz2'!AE32)&gt;0,-(AE6+'CE CC opz2'!AE32)*IN!$C$55,0),0)</f>
        <v>0</v>
      </c>
      <c r="AF8" s="324">
        <f>IF(AF5&lt;=IN!$C$47,IF(AF6&gt;0,-AF6*IN!$C$54,0),0)+IF(AF5&lt;=IN!$C$47,IF((AF6+'CE CC opz2'!AF32)&gt;0,-(AF6+'CE CC opz2'!AF32)*IN!$C$55,0),0)</f>
        <v>0</v>
      </c>
      <c r="AG8" s="324"/>
    </row>
    <row r="9" spans="2:33" x14ac:dyDescent="0.25">
      <c r="B9" s="325" t="s">
        <v>261</v>
      </c>
      <c r="C9" s="324">
        <f>-Investimenti!G7</f>
        <v>-5407753.2212252971</v>
      </c>
      <c r="D9" s="324">
        <f>-Investimenti!H7</f>
        <v>0</v>
      </c>
      <c r="E9" s="324">
        <f>-Investimenti!I7</f>
        <v>0</v>
      </c>
      <c r="F9" s="324">
        <f>-Investimenti!J7</f>
        <v>0</v>
      </c>
      <c r="G9" s="324">
        <f>-Investimenti!K7</f>
        <v>0</v>
      </c>
      <c r="H9" s="324">
        <f>-Investimenti!L7</f>
        <v>0</v>
      </c>
      <c r="I9" s="324">
        <f>-Investimenti!M7</f>
        <v>0</v>
      </c>
      <c r="J9" s="324">
        <f>-Investimenti!N7</f>
        <v>0</v>
      </c>
      <c r="K9" s="324">
        <f>-Investimenti!O7</f>
        <v>0</v>
      </c>
      <c r="L9" s="324">
        <f>-Investimenti!P7</f>
        <v>0</v>
      </c>
      <c r="M9" s="324">
        <f>-Investimenti!Q7</f>
        <v>0</v>
      </c>
      <c r="N9" s="324">
        <f>-Investimenti!R7</f>
        <v>0</v>
      </c>
      <c r="O9" s="324">
        <f>-Investimenti!S7</f>
        <v>0</v>
      </c>
      <c r="P9" s="324">
        <f>-Investimenti!T7</f>
        <v>0</v>
      </c>
      <c r="Q9" s="324">
        <f>-Investimenti!U7</f>
        <v>0</v>
      </c>
      <c r="R9" s="324">
        <f>-Investimenti!V7</f>
        <v>0</v>
      </c>
      <c r="S9" s="324">
        <f>-Investimenti!W7</f>
        <v>0</v>
      </c>
      <c r="T9" s="324">
        <f>-Investimenti!X7</f>
        <v>0</v>
      </c>
      <c r="U9" s="324">
        <f>-Investimenti!Y7</f>
        <v>0</v>
      </c>
      <c r="V9" s="324">
        <f>-Investimenti!Z7</f>
        <v>0</v>
      </c>
      <c r="W9" s="324">
        <f>-Investimenti!AA7</f>
        <v>0</v>
      </c>
      <c r="X9" s="324">
        <f>-Investimenti!AB7</f>
        <v>0</v>
      </c>
      <c r="Y9" s="324">
        <f>-Investimenti!AC7</f>
        <v>0</v>
      </c>
      <c r="Z9" s="324">
        <f>-Investimenti!AD7</f>
        <v>0</v>
      </c>
      <c r="AA9" s="324">
        <f>-Investimenti!AE7</f>
        <v>0</v>
      </c>
      <c r="AB9" s="324">
        <f>-Investimenti!AF7</f>
        <v>0</v>
      </c>
      <c r="AC9" s="324">
        <f>-Investimenti!AG7</f>
        <v>0</v>
      </c>
      <c r="AD9" s="324">
        <f>-Investimenti!AH7</f>
        <v>0</v>
      </c>
      <c r="AE9" s="324">
        <f>-Investimenti!AI7</f>
        <v>0</v>
      </c>
      <c r="AF9" s="324">
        <f>-Investimenti!AJ7</f>
        <v>0</v>
      </c>
      <c r="AG9" s="324"/>
    </row>
    <row r="10" spans="2:33" x14ac:dyDescent="0.25">
      <c r="B10" s="325" t="s">
        <v>262</v>
      </c>
      <c r="C10" s="324">
        <f>-'CE CC opz2'!C91</f>
        <v>1082506.7491739865</v>
      </c>
      <c r="D10" s="324">
        <f>-'CE CC opz2'!D91</f>
        <v>-1177737.5915677424</v>
      </c>
      <c r="E10" s="324">
        <f>-'CE CC opz2'!E91</f>
        <v>-224.71622591216874</v>
      </c>
      <c r="F10" s="324">
        <f>-'CE CC opz2'!F91</f>
        <v>-226.99661263499002</v>
      </c>
      <c r="G10" s="324">
        <f>-'CE CC opz2'!G91</f>
        <v>-229.30046771433263</v>
      </c>
      <c r="H10" s="324">
        <f>-'CE CC opz2'!H91</f>
        <v>-231.62803912360687</v>
      </c>
      <c r="I10" s="324">
        <f>-'CE CC opz2'!I91</f>
        <v>-233.97957758155826</v>
      </c>
      <c r="J10" s="324">
        <f>-'CE CC opz2'!J91</f>
        <v>5780.0830195788876</v>
      </c>
      <c r="K10" s="324">
        <f>-'CE CC opz2'!K91</f>
        <v>-6255.1939286082779</v>
      </c>
      <c r="L10" s="324">
        <f>-'CE CC opz2'!L91</f>
        <v>-241.18054431084602</v>
      </c>
      <c r="M10" s="324">
        <f>-'CE CC opz2'!M91</f>
        <v>-243.6305142192723</v>
      </c>
      <c r="N10" s="324">
        <f>-'CE CC opz2'!N91</f>
        <v>-246.10574711610388</v>
      </c>
      <c r="O10" s="324">
        <f>-'CE CC opz2'!O91</f>
        <v>-248.60651089697785</v>
      </c>
      <c r="P10" s="324">
        <f>-'CE CC opz2'!P91</f>
        <v>5765.3052797224809</v>
      </c>
      <c r="Q10" s="324">
        <f>-'CE CC opz2'!Q91</f>
        <v>-6270.1240738153429</v>
      </c>
      <c r="R10" s="324">
        <f>-'CE CC opz2'!R91</f>
        <v>-256.26471148090786</v>
      </c>
      <c r="S10" s="324">
        <f>-'CE CC opz2'!S91</f>
        <v>-258.87033798238554</v>
      </c>
      <c r="T10" s="324">
        <f>-'CE CC opz2'!T91</f>
        <v>-261.50288033661491</v>
      </c>
      <c r="U10" s="324">
        <f>-'CE CC opz2'!U91</f>
        <v>-264.16262489366636</v>
      </c>
      <c r="V10" s="324">
        <f>-'CE CC opz2'!V91</f>
        <v>-266.84986121157999</v>
      </c>
      <c r="W10" s="324">
        <f>-'CE CC opz2'!W91</f>
        <v>-269.5648820939532</v>
      </c>
      <c r="X10" s="324">
        <f>-'CE CC opz2'!X91</f>
        <v>-272.3079836305551</v>
      </c>
      <c r="Y10" s="324">
        <f>-'CE CC opz2'!Y91</f>
        <v>-275.07946523689316</v>
      </c>
      <c r="Z10" s="324">
        <f>-'CE CC opz2'!Z91</f>
        <v>100461.51908325459</v>
      </c>
      <c r="AA10" s="324">
        <f>-'CE CC opz2'!AA91</f>
        <v>0</v>
      </c>
      <c r="AB10" s="324">
        <f>-'CE CC opz2'!AB91</f>
        <v>0</v>
      </c>
      <c r="AC10" s="324">
        <f>-'CE CC opz2'!AC91</f>
        <v>0</v>
      </c>
      <c r="AD10" s="324">
        <f>-'CE CC opz2'!AD91</f>
        <v>0</v>
      </c>
      <c r="AE10" s="324">
        <f>-'CE CC opz2'!AE91</f>
        <v>0</v>
      </c>
      <c r="AF10" s="324">
        <f>-'CE CC opz2'!AF91</f>
        <v>0</v>
      </c>
      <c r="AG10" s="324"/>
    </row>
    <row r="11" spans="2:33" s="428" customFormat="1" x14ac:dyDescent="0.25">
      <c r="B11" s="433" t="s">
        <v>263</v>
      </c>
      <c r="C11" s="434">
        <f>SUM(C6:C10)</f>
        <v>-4317111.8911279952</v>
      </c>
      <c r="D11" s="434">
        <f t="shared" ref="D11:AB11" si="1">SUM(D6:D10)</f>
        <v>-771927.10285147687</v>
      </c>
      <c r="E11" s="434">
        <f t="shared" si="1"/>
        <v>406375.920582744</v>
      </c>
      <c r="F11" s="434">
        <f t="shared" si="1"/>
        <v>407171.80871927034</v>
      </c>
      <c r="G11" s="434">
        <f t="shared" si="1"/>
        <v>407975.77640160575</v>
      </c>
      <c r="H11" s="434">
        <f t="shared" si="1"/>
        <v>408787.90683849755</v>
      </c>
      <c r="I11" s="434">
        <f t="shared" si="1"/>
        <v>409608.28411904589</v>
      </c>
      <c r="J11" s="434">
        <f t="shared" si="1"/>
        <v>394913.43157863757</v>
      </c>
      <c r="K11" s="434">
        <f t="shared" si="1"/>
        <v>405257.68167184497</v>
      </c>
      <c r="L11" s="434">
        <f t="shared" si="1"/>
        <v>412119.75132489728</v>
      </c>
      <c r="M11" s="434">
        <f t="shared" si="1"/>
        <v>412973.97482251626</v>
      </c>
      <c r="N11" s="434">
        <f t="shared" si="1"/>
        <v>413836.879160629</v>
      </c>
      <c r="O11" s="434">
        <f t="shared" si="1"/>
        <v>414708.55391975067</v>
      </c>
      <c r="P11" s="434">
        <f t="shared" si="1"/>
        <v>400065.52798780828</v>
      </c>
      <c r="Q11" s="434">
        <f t="shared" si="1"/>
        <v>410462.1394337758</v>
      </c>
      <c r="R11" s="434">
        <f t="shared" si="1"/>
        <v>417377.11086088885</v>
      </c>
      <c r="S11" s="434">
        <f t="shared" si="1"/>
        <v>418284.78229423822</v>
      </c>
      <c r="T11" s="434">
        <f t="shared" si="1"/>
        <v>419201.68653424602</v>
      </c>
      <c r="U11" s="434">
        <f t="shared" si="1"/>
        <v>420127.91903082514</v>
      </c>
      <c r="V11" s="434">
        <f t="shared" si="1"/>
        <v>421063.57625082496</v>
      </c>
      <c r="W11" s="434">
        <f t="shared" si="1"/>
        <v>422322.23163548822</v>
      </c>
      <c r="X11" s="434">
        <f t="shared" si="1"/>
        <v>423294.40319611109</v>
      </c>
      <c r="Y11" s="434">
        <f t="shared" si="1"/>
        <v>424276.46881087939</v>
      </c>
      <c r="Z11" s="434">
        <f t="shared" si="1"/>
        <v>100461.51908325459</v>
      </c>
      <c r="AA11" s="434">
        <f t="shared" si="1"/>
        <v>0</v>
      </c>
      <c r="AB11" s="434">
        <f t="shared" si="1"/>
        <v>0</v>
      </c>
      <c r="AC11" s="434">
        <f>SUM(AC6:AC10)</f>
        <v>0</v>
      </c>
      <c r="AD11" s="434">
        <f>SUM(AD6:AD10)</f>
        <v>0</v>
      </c>
      <c r="AE11" s="434">
        <f>SUM(AE6:AE10)</f>
        <v>0</v>
      </c>
      <c r="AF11" s="434">
        <f>SUM(AF6:AF10)</f>
        <v>0</v>
      </c>
      <c r="AG11" s="434">
        <f>SUM(AG6:AG10)</f>
        <v>0</v>
      </c>
    </row>
    <row r="12" spans="2:33" s="428" customFormat="1" x14ac:dyDescent="0.25">
      <c r="B12" s="433" t="s">
        <v>264</v>
      </c>
      <c r="C12" s="434">
        <f>C11/((1+$C$14)^(C5-1))</f>
        <v>-4317111.8911279952</v>
      </c>
      <c r="D12" s="434">
        <f t="shared" ref="D12:AF12" si="2">D11/((1+$C$14)^(D5-1))</f>
        <v>-735308.72818772797</v>
      </c>
      <c r="E12" s="434">
        <f t="shared" si="2"/>
        <v>368735.39655317954</v>
      </c>
      <c r="F12" s="434">
        <f t="shared" si="2"/>
        <v>351931.38277804916</v>
      </c>
      <c r="G12" s="434">
        <f t="shared" si="2"/>
        <v>335898.53047914553</v>
      </c>
      <c r="H12" s="434">
        <f t="shared" si="2"/>
        <v>320601.23976213625</v>
      </c>
      <c r="I12" s="434">
        <f t="shared" si="2"/>
        <v>306005.56235087774</v>
      </c>
      <c r="J12" s="434">
        <f t="shared" si="2"/>
        <v>281032.098253162</v>
      </c>
      <c r="K12" s="434">
        <f t="shared" si="2"/>
        <v>274712.68155354675</v>
      </c>
      <c r="L12" s="434">
        <f t="shared" si="2"/>
        <v>266111.91068006324</v>
      </c>
      <c r="M12" s="434">
        <f t="shared" si="2"/>
        <v>254013.61746726197</v>
      </c>
      <c r="N12" s="434">
        <f t="shared" si="2"/>
        <v>242469.39986612432</v>
      </c>
      <c r="O12" s="434">
        <f t="shared" si="2"/>
        <v>231453.72366590414</v>
      </c>
      <c r="P12" s="434">
        <f t="shared" si="2"/>
        <v>212689.34901331417</v>
      </c>
      <c r="Q12" s="434">
        <f t="shared" si="2"/>
        <v>207864.89316627252</v>
      </c>
      <c r="R12" s="434">
        <f t="shared" si="2"/>
        <v>201340.01749186692</v>
      </c>
      <c r="S12" s="434">
        <f t="shared" si="2"/>
        <v>192206.01287664601</v>
      </c>
      <c r="T12" s="434">
        <f t="shared" si="2"/>
        <v>183489.55942449233</v>
      </c>
      <c r="U12" s="434">
        <f t="shared" si="2"/>
        <v>175171.44446022573</v>
      </c>
      <c r="V12" s="434">
        <f t="shared" si="2"/>
        <v>167233.34421121498</v>
      </c>
      <c r="W12" s="434">
        <f t="shared" si="2"/>
        <v>159776.37925925676</v>
      </c>
      <c r="X12" s="434">
        <f t="shared" si="2"/>
        <v>152547.32244786734</v>
      </c>
      <c r="Y12" s="434">
        <f t="shared" si="2"/>
        <v>145647.97140438869</v>
      </c>
      <c r="Z12" s="434">
        <f t="shared" si="2"/>
        <v>32851.005498772538</v>
      </c>
      <c r="AA12" s="434">
        <f t="shared" si="2"/>
        <v>0</v>
      </c>
      <c r="AB12" s="434">
        <f t="shared" si="2"/>
        <v>0</v>
      </c>
      <c r="AC12" s="434">
        <f t="shared" si="2"/>
        <v>0</v>
      </c>
      <c r="AD12" s="434">
        <f t="shared" si="2"/>
        <v>0</v>
      </c>
      <c r="AE12" s="434">
        <f t="shared" si="2"/>
        <v>0</v>
      </c>
      <c r="AF12" s="434">
        <f t="shared" si="2"/>
        <v>0</v>
      </c>
      <c r="AG12" s="434">
        <f>AG11/((1+$C$14)^(AG5-1))</f>
        <v>0</v>
      </c>
    </row>
    <row r="13" spans="2:33" x14ac:dyDescent="0.25">
      <c r="B13" s="130"/>
      <c r="C13" s="335"/>
      <c r="D13" s="335"/>
      <c r="E13" s="335"/>
      <c r="F13" s="335"/>
      <c r="G13" s="335"/>
      <c r="H13" s="335"/>
      <c r="I13" s="335"/>
      <c r="J13" s="335"/>
      <c r="K13" s="335"/>
      <c r="L13" s="335"/>
      <c r="M13" s="335"/>
      <c r="N13" s="335"/>
      <c r="O13" s="335"/>
      <c r="P13" s="335"/>
      <c r="Q13" s="335"/>
      <c r="R13" s="335"/>
      <c r="S13" s="335"/>
      <c r="T13" s="335"/>
      <c r="U13" s="335"/>
      <c r="V13" s="335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</row>
    <row r="14" spans="2:33" x14ac:dyDescent="0.25">
      <c r="B14" s="131" t="s">
        <v>47</v>
      </c>
      <c r="C14" s="214">
        <f>IN!C44</f>
        <v>4.9799999999999997E-2</v>
      </c>
      <c r="D14" s="99"/>
      <c r="E14" s="113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</row>
    <row r="15" spans="2:33" x14ac:dyDescent="0.25">
      <c r="B15" s="131" t="s">
        <v>15</v>
      </c>
      <c r="C15" s="215">
        <f>C11+NPV(C14,D11:AG11)</f>
        <v>11362.223348045722</v>
      </c>
      <c r="D15" s="216"/>
      <c r="E15" s="217"/>
      <c r="F15" s="218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</row>
    <row r="16" spans="2:33" x14ac:dyDescent="0.25">
      <c r="B16" s="131" t="s">
        <v>17</v>
      </c>
      <c r="C16" s="214">
        <f>IRR(C11:AG11,0.1%)</f>
        <v>5.0029921077795025E-2</v>
      </c>
      <c r="D16" s="219"/>
      <c r="E16" s="217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</row>
    <row r="17" spans="2:34" x14ac:dyDescent="0.25">
      <c r="B17" s="130"/>
      <c r="C17" s="278"/>
      <c r="D17" s="219"/>
      <c r="E17" s="217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</row>
    <row r="18" spans="2:34" x14ac:dyDescent="0.25">
      <c r="B18" s="130"/>
      <c r="C18" s="278"/>
      <c r="D18" s="219"/>
      <c r="E18" s="217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</row>
    <row r="19" spans="2:34" ht="23.25" x14ac:dyDescent="0.35">
      <c r="B19" s="175" t="s">
        <v>265</v>
      </c>
      <c r="C19" s="175"/>
      <c r="D19" s="175"/>
      <c r="E19" s="175"/>
      <c r="F19" s="175"/>
      <c r="G19" s="175"/>
      <c r="H19" s="175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99"/>
    </row>
    <row r="20" spans="2:34" x14ac:dyDescent="0.25">
      <c r="B20" s="334" t="s">
        <v>206</v>
      </c>
      <c r="C20" s="278"/>
      <c r="D20" s="219"/>
      <c r="E20" s="217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99"/>
      <c r="AG20" s="99"/>
    </row>
    <row r="21" spans="2:34" x14ac:dyDescent="0.25">
      <c r="B21" s="803" t="s">
        <v>143</v>
      </c>
      <c r="C21" s="467" t="s">
        <v>329</v>
      </c>
      <c r="D21" s="467" t="s">
        <v>330</v>
      </c>
      <c r="E21" s="467" t="s">
        <v>331</v>
      </c>
      <c r="F21" s="467" t="s">
        <v>332</v>
      </c>
      <c r="G21" s="467" t="s">
        <v>333</v>
      </c>
      <c r="H21" s="467" t="s">
        <v>334</v>
      </c>
      <c r="I21" s="467" t="s">
        <v>335</v>
      </c>
      <c r="J21" s="467" t="s">
        <v>336</v>
      </c>
      <c r="K21" s="467" t="s">
        <v>337</v>
      </c>
      <c r="L21" s="467" t="s">
        <v>338</v>
      </c>
      <c r="M21" s="467" t="s">
        <v>339</v>
      </c>
      <c r="N21" s="467" t="s">
        <v>340</v>
      </c>
      <c r="O21" s="467" t="s">
        <v>341</v>
      </c>
      <c r="P21" s="467" t="s">
        <v>342</v>
      </c>
      <c r="Q21" s="467" t="s">
        <v>343</v>
      </c>
      <c r="R21" s="467" t="s">
        <v>344</v>
      </c>
      <c r="S21" s="467" t="s">
        <v>345</v>
      </c>
      <c r="T21" s="467" t="s">
        <v>346</v>
      </c>
      <c r="U21" s="467" t="s">
        <v>347</v>
      </c>
      <c r="V21" s="467" t="s">
        <v>348</v>
      </c>
      <c r="W21" s="467" t="s">
        <v>349</v>
      </c>
      <c r="X21" s="467" t="s">
        <v>350</v>
      </c>
      <c r="Y21" s="467" t="s">
        <v>351</v>
      </c>
      <c r="Z21" s="467" t="s">
        <v>564</v>
      </c>
      <c r="AA21" s="212" t="e">
        <f t="shared" ref="E21:AG22" si="3">Z21+1</f>
        <v>#VALUE!</v>
      </c>
      <c r="AB21" s="212" t="e">
        <f t="shared" si="3"/>
        <v>#VALUE!</v>
      </c>
      <c r="AC21" s="212" t="e">
        <f t="shared" si="3"/>
        <v>#VALUE!</v>
      </c>
      <c r="AD21" s="212" t="e">
        <f t="shared" si="3"/>
        <v>#VALUE!</v>
      </c>
      <c r="AE21" s="212" t="e">
        <f t="shared" si="3"/>
        <v>#VALUE!</v>
      </c>
      <c r="AF21" s="212" t="e">
        <f t="shared" si="3"/>
        <v>#VALUE!</v>
      </c>
      <c r="AG21" s="212" t="e">
        <f t="shared" si="3"/>
        <v>#VALUE!</v>
      </c>
    </row>
    <row r="22" spans="2:34" x14ac:dyDescent="0.25">
      <c r="B22" s="804"/>
      <c r="C22" s="211">
        <v>1</v>
      </c>
      <c r="D22" s="212">
        <f>C22+1</f>
        <v>2</v>
      </c>
      <c r="E22" s="212">
        <f>D22+1</f>
        <v>3</v>
      </c>
      <c r="F22" s="212">
        <f t="shared" si="3"/>
        <v>4</v>
      </c>
      <c r="G22" s="212">
        <f t="shared" si="3"/>
        <v>5</v>
      </c>
      <c r="H22" s="212">
        <f t="shared" si="3"/>
        <v>6</v>
      </c>
      <c r="I22" s="212">
        <f t="shared" si="3"/>
        <v>7</v>
      </c>
      <c r="J22" s="212">
        <f t="shared" si="3"/>
        <v>8</v>
      </c>
      <c r="K22" s="212">
        <f t="shared" si="3"/>
        <v>9</v>
      </c>
      <c r="L22" s="212">
        <f t="shared" si="3"/>
        <v>10</v>
      </c>
      <c r="M22" s="212">
        <f t="shared" si="3"/>
        <v>11</v>
      </c>
      <c r="N22" s="212">
        <f t="shared" si="3"/>
        <v>12</v>
      </c>
      <c r="O22" s="212">
        <f t="shared" si="3"/>
        <v>13</v>
      </c>
      <c r="P22" s="212">
        <f t="shared" si="3"/>
        <v>14</v>
      </c>
      <c r="Q22" s="212">
        <f t="shared" si="3"/>
        <v>15</v>
      </c>
      <c r="R22" s="212">
        <f t="shared" si="3"/>
        <v>16</v>
      </c>
      <c r="S22" s="212">
        <f t="shared" si="3"/>
        <v>17</v>
      </c>
      <c r="T22" s="212">
        <f t="shared" si="3"/>
        <v>18</v>
      </c>
      <c r="U22" s="212">
        <f t="shared" si="3"/>
        <v>19</v>
      </c>
      <c r="V22" s="212">
        <f t="shared" si="3"/>
        <v>20</v>
      </c>
      <c r="W22" s="212">
        <f t="shared" si="3"/>
        <v>21</v>
      </c>
      <c r="X22" s="212">
        <f t="shared" si="3"/>
        <v>22</v>
      </c>
      <c r="Y22" s="212">
        <f t="shared" si="3"/>
        <v>23</v>
      </c>
      <c r="Z22" s="212">
        <f t="shared" si="3"/>
        <v>24</v>
      </c>
      <c r="AA22" s="212">
        <f t="shared" si="3"/>
        <v>25</v>
      </c>
      <c r="AB22" s="212">
        <f t="shared" si="3"/>
        <v>26</v>
      </c>
      <c r="AC22" s="212">
        <f t="shared" si="3"/>
        <v>27</v>
      </c>
      <c r="AD22" s="212">
        <f t="shared" si="3"/>
        <v>28</v>
      </c>
      <c r="AE22" s="212">
        <f t="shared" si="3"/>
        <v>29</v>
      </c>
      <c r="AF22" s="212">
        <f t="shared" si="3"/>
        <v>30</v>
      </c>
      <c r="AG22" s="212">
        <f t="shared" si="3"/>
        <v>31</v>
      </c>
    </row>
    <row r="23" spans="2:34" x14ac:dyDescent="0.25">
      <c r="B23" s="322" t="s">
        <v>258</v>
      </c>
      <c r="C23" s="324">
        <f>'CE CC opz2'!C40</f>
        <v>-226985.12434734972</v>
      </c>
      <c r="D23" s="324">
        <f>'CE CC opz2'!D40</f>
        <v>237841.56852585022</v>
      </c>
      <c r="E23" s="324">
        <f>'CE CC opz2'!E40</f>
        <v>238943.1600578143</v>
      </c>
      <c r="F23" s="324">
        <f>'CE CC opz2'!F40</f>
        <v>240055.93317353065</v>
      </c>
      <c r="G23" s="324">
        <f>'CE CC opz2'!G40</f>
        <v>241180.00300220519</v>
      </c>
      <c r="H23" s="324">
        <f>'CE CC opz2'!H40</f>
        <v>242315.48589060406</v>
      </c>
      <c r="I23" s="324">
        <f>'CE CC opz2'!I40</f>
        <v>243462.49941655292</v>
      </c>
      <c r="J23" s="324">
        <f>'CE CC opz2'!J40</f>
        <v>214621.16240260084</v>
      </c>
      <c r="K23" s="324">
        <f>'CE CC opz2'!K40</f>
        <v>245791.59492984504</v>
      </c>
      <c r="L23" s="324">
        <f>'CE CC opz2'!L40</f>
        <v>246973.91835192483</v>
      </c>
      <c r="M23" s="324">
        <f>'CE CC opz2'!M40</f>
        <v>248168.2553091794</v>
      </c>
      <c r="N23" s="324">
        <f>'CE CC opz2'!N40</f>
        <v>249374.72974297989</v>
      </c>
      <c r="O23" s="324">
        <f>'CE CC opz2'!O40</f>
        <v>250593.46691023107</v>
      </c>
      <c r="P23" s="324">
        <f>'CE CC opz2'!P40</f>
        <v>221824.59339804974</v>
      </c>
      <c r="Q23" s="324">
        <f>'CE CC opz2'!Q40</f>
        <v>253068.23713861956</v>
      </c>
      <c r="R23" s="324">
        <f>'CE CC opz2'!R40</f>
        <v>254324.52742422497</v>
      </c>
      <c r="S23" s="324">
        <f>'CE CC opz2'!S40</f>
        <v>255593.59492246967</v>
      </c>
      <c r="T23" s="324">
        <f>'CE CC opz2'!T40</f>
        <v>256875.57169167549</v>
      </c>
      <c r="U23" s="324">
        <f>'CE CC opz2'!U40</f>
        <v>258170.5911964711</v>
      </c>
      <c r="V23" s="324">
        <f>'CE CC opz2'!V40</f>
        <v>259478.78832357124</v>
      </c>
      <c r="W23" s="324">
        <f>'CE CC opz2'!W40</f>
        <v>261212.76774779541</v>
      </c>
      <c r="X23" s="324">
        <f>'CE CC opz2'!X40</f>
        <v>262570.58761152718</v>
      </c>
      <c r="Y23" s="324">
        <f>'CE CC opz2'!Y40</f>
        <v>263942.22702151979</v>
      </c>
      <c r="Z23" s="324">
        <f>'CE CC opz2'!Z40</f>
        <v>0</v>
      </c>
      <c r="AA23" s="324">
        <f>'CE CC opz2'!AA40</f>
        <v>0</v>
      </c>
      <c r="AB23" s="324">
        <f>'CE CC opz2'!AB40</f>
        <v>0</v>
      </c>
      <c r="AC23" s="324">
        <f>'CE CC opz2'!AC40</f>
        <v>0</v>
      </c>
      <c r="AD23" s="324">
        <f>'CE CC opz2'!AD40</f>
        <v>0</v>
      </c>
      <c r="AE23" s="324">
        <f>'CE CC opz2'!AE40</f>
        <v>0</v>
      </c>
      <c r="AF23" s="324">
        <f>'CE CC opz2'!AF40</f>
        <v>0</v>
      </c>
      <c r="AG23" s="324"/>
    </row>
    <row r="24" spans="2:34" x14ac:dyDescent="0.25">
      <c r="B24" s="322" t="s">
        <v>259</v>
      </c>
      <c r="C24" s="324">
        <f>'CE CC opz2'!C39</f>
        <v>235119.70527066509</v>
      </c>
      <c r="D24" s="324">
        <f>'CE CC opz2'!D39</f>
        <v>235119.70527066509</v>
      </c>
      <c r="E24" s="324">
        <f>'CE CC opz2'!E39</f>
        <v>235119.70527066509</v>
      </c>
      <c r="F24" s="324">
        <f>'CE CC opz2'!F39</f>
        <v>235119.70527066509</v>
      </c>
      <c r="G24" s="324">
        <f>'CE CC opz2'!G39</f>
        <v>235119.70527066509</v>
      </c>
      <c r="H24" s="324">
        <f>'CE CC opz2'!H39</f>
        <v>235119.70527066509</v>
      </c>
      <c r="I24" s="324">
        <f>'CE CC opz2'!I39</f>
        <v>235119.70527066509</v>
      </c>
      <c r="J24" s="324">
        <f>'CE CC opz2'!J39</f>
        <v>235119.70527066509</v>
      </c>
      <c r="K24" s="324">
        <f>'CE CC opz2'!K39</f>
        <v>235119.70527066509</v>
      </c>
      <c r="L24" s="324">
        <f>'CE CC opz2'!L39</f>
        <v>235119.70527066509</v>
      </c>
      <c r="M24" s="324">
        <f>'CE CC opz2'!M39</f>
        <v>235119.70527066509</v>
      </c>
      <c r="N24" s="324">
        <f>'CE CC opz2'!N39</f>
        <v>235119.70527066509</v>
      </c>
      <c r="O24" s="324">
        <f>'CE CC opz2'!O39</f>
        <v>235119.70527066509</v>
      </c>
      <c r="P24" s="324">
        <f>'CE CC opz2'!P39</f>
        <v>235119.70527066509</v>
      </c>
      <c r="Q24" s="324">
        <f>'CE CC opz2'!Q39</f>
        <v>235119.70527066509</v>
      </c>
      <c r="R24" s="324">
        <f>'CE CC opz2'!R39</f>
        <v>235119.70527066509</v>
      </c>
      <c r="S24" s="324">
        <f>'CE CC opz2'!S39</f>
        <v>235119.70527066509</v>
      </c>
      <c r="T24" s="324">
        <f>'CE CC opz2'!T39</f>
        <v>235119.70527066509</v>
      </c>
      <c r="U24" s="324">
        <f>'CE CC opz2'!U39</f>
        <v>235119.70527066509</v>
      </c>
      <c r="V24" s="324">
        <f>'CE CC opz2'!V39</f>
        <v>235119.70527066509</v>
      </c>
      <c r="W24" s="324">
        <f>'CE CC opz2'!W39</f>
        <v>235119.70527066509</v>
      </c>
      <c r="X24" s="324">
        <f>'CE CC opz2'!X39</f>
        <v>235119.70527066509</v>
      </c>
      <c r="Y24" s="324">
        <f>'CE CC opz2'!Y39</f>
        <v>235119.70527066509</v>
      </c>
      <c r="Z24" s="324">
        <f>'CE CC opz2'!Z39</f>
        <v>0</v>
      </c>
      <c r="AA24" s="324">
        <f>'CE CC opz2'!AA39</f>
        <v>0</v>
      </c>
      <c r="AB24" s="324">
        <f>'CE CC opz2'!AB39</f>
        <v>0</v>
      </c>
      <c r="AC24" s="324">
        <f>'CE CC opz2'!AC39</f>
        <v>0</v>
      </c>
      <c r="AD24" s="324">
        <f>'CE CC opz2'!AD39</f>
        <v>0</v>
      </c>
      <c r="AE24" s="324">
        <f>'CE CC opz2'!AE39</f>
        <v>0</v>
      </c>
      <c r="AF24" s="324">
        <f>'CE CC opz2'!AF39</f>
        <v>0</v>
      </c>
      <c r="AG24" s="324"/>
    </row>
    <row r="25" spans="2:34" x14ac:dyDescent="0.25">
      <c r="B25" s="322" t="s">
        <v>266</v>
      </c>
      <c r="C25" s="324">
        <f>IF(C22&lt;=IN!$C$47,('CE CC opz2'!C45+'CE CC opz2'!C46)*-1,0)</f>
        <v>71958.770200233834</v>
      </c>
      <c r="D25" s="324">
        <f>IF(D22&lt;=IN!$C$47,('CE CC opz2'!D45+'CE CC opz2'!D46)*-1,0)</f>
        <v>-50220.778085313825</v>
      </c>
      <c r="E25" s="324">
        <f>IF(E22&lt;=IN!$C$47,('CE CC opz2'!E45+'CE CC opz2'!E46)*-1,0)</f>
        <v>-51099.964987619212</v>
      </c>
      <c r="F25" s="324">
        <f>IF(F22&lt;=IN!$C$47,('CE CC opz2'!F45+'CE CC opz2'!F46)*-1,0)</f>
        <v>-51998.153085428581</v>
      </c>
      <c r="G25" s="324">
        <f>IF(G22&lt;=IN!$C$47,('CE CC opz2'!G45+'CE CC opz2'!G46)*-1,0)</f>
        <v>-52915.816861829546</v>
      </c>
      <c r="H25" s="324">
        <f>IF(H22&lt;=IN!$C$47,('CE CC opz2'!H45+'CE CC opz2'!H46)*-1,0)</f>
        <v>-53853.443474103944</v>
      </c>
      <c r="I25" s="324">
        <f>IF(I22&lt;=IN!$C$47,('CE CC opz2'!I45+'CE CC opz2'!I46)*-1,0)</f>
        <v>-54811.533101550871</v>
      </c>
      <c r="J25" s="324">
        <f>IF(J22&lt;=IN!$C$47,('CE CC opz2'!J45+'CE CC opz2'!J46)*-1,0)</f>
        <v>-47330.59930295404</v>
      </c>
      <c r="K25" s="324">
        <f>IF(K22&lt;=IN!$C$47,('CE CC opz2'!K45+'CE CC opz2'!K46)*-1,0)</f>
        <v>-56791.169383960332</v>
      </c>
      <c r="L25" s="324">
        <f>IF(L22&lt;=IN!$C$47,('CE CC opz2'!L45+'CE CC opz2'!L46)*-1,0)</f>
        <v>-57813.784774646789</v>
      </c>
      <c r="M25" s="324">
        <f>IF(M22&lt;=IN!$C$47,('CE CC opz2'!M45+'CE CC opz2'!M46)*-1,0)</f>
        <v>-58859.001417557898</v>
      </c>
      <c r="N25" s="324">
        <f>IF(N22&lt;=IN!$C$47,('CE CC opz2'!N45+'CE CC opz2'!N46)*-1,0)</f>
        <v>-59927.390166506601</v>
      </c>
      <c r="O25" s="324">
        <f>IF(O22&lt;=IN!$C$47,('CE CC opz2'!O45+'CE CC opz2'!O46)*-1,0)</f>
        <v>-61019.53719643681</v>
      </c>
      <c r="P25" s="324">
        <f>IF(P22&lt;=IN!$C$47,('CE CC opz2'!P45+'CE CC opz2'!P46)*-1,0)</f>
        <v>-53676.044424656604</v>
      </c>
      <c r="Q25" s="324">
        <f>IF(Q22&lt;=IN!$C$47,('CE CC opz2'!Q45+'CE CC opz2'!Q46)*-1,0)</f>
        <v>-63277.529943758098</v>
      </c>
      <c r="R25" s="324">
        <f>IF(R22&lt;=IN!$C$47,('CE CC opz2'!R45+'CE CC opz2'!R46)*-1,0)</f>
        <v>-64444.628466549097</v>
      </c>
      <c r="S25" s="324">
        <f>IF(S22&lt;=IN!$C$47,('CE CC opz2'!S45+'CE CC opz2'!S46)*-1,0)</f>
        <v>-65637.991783332036</v>
      </c>
      <c r="T25" s="324">
        <f>IF(T22&lt;=IN!$C$47,('CE CC opz2'!T45+'CE CC opz2'!T46)*-1,0)</f>
        <v>-66858.289231871953</v>
      </c>
      <c r="U25" s="324">
        <f>IF(U22&lt;=IN!$C$47,('CE CC opz2'!U45+'CE CC opz2'!U46)*-1,0)</f>
        <v>-68106.208180408794</v>
      </c>
      <c r="V25" s="324">
        <f>IF(V22&lt;=IN!$C$47,('CE CC opz2'!V45+'CE CC opz2'!V46)*-1,0)</f>
        <v>-69382.45452407666</v>
      </c>
      <c r="W25" s="324">
        <f>IF(W22&lt;=IN!$C$47,('CE CC opz2'!W45+'CE CC opz2'!W46)*-1,0)</f>
        <v>-70786.745599114234</v>
      </c>
      <c r="X25" s="324">
        <f>IF(X22&lt;=IN!$C$47,('CE CC opz2'!X45+'CE CC opz2'!X46)*-1,0)</f>
        <v>-72127.326786418023</v>
      </c>
      <c r="Y25" s="324">
        <f>IF(Y22&lt;=IN!$C$47,('CE CC opz2'!Y45+'CE CC opz2'!Y46)*-1,0)</f>
        <v>-73498.524245769266</v>
      </c>
      <c r="Z25" s="324">
        <f>IF(Z22&lt;=IN!$C$47,('CE CC opz2'!Z45+'CE CC opz2'!Z46)*-1,0)</f>
        <v>0</v>
      </c>
      <c r="AA25" s="324">
        <f>IF(AA22&lt;=IN!$C$47,('CE CC opz2'!AA45+'CE CC opz2'!AA46)*-1,0)</f>
        <v>0</v>
      </c>
      <c r="AB25" s="324">
        <f>IF(AB22&lt;=IN!$C$47,('CE CC opz2'!AB45+'CE CC opz2'!AB46)*-1,0)</f>
        <v>0</v>
      </c>
      <c r="AC25" s="324">
        <f>IF(AC22&lt;=IN!$C$47,('CE CC opz2'!AC45+'CE CC opz2'!AC46)*-1,0)</f>
        <v>0</v>
      </c>
      <c r="AD25" s="324">
        <f>IF(AD22&lt;=IN!$C$47,('CE CC opz2'!AD45+'CE CC opz2'!AD46)*-1,0)</f>
        <v>0</v>
      </c>
      <c r="AE25" s="324">
        <f>IF(AE22&lt;=IN!$C$47,('CE CC opz2'!AE45+'CE CC opz2'!AE46)*-1,0)</f>
        <v>0</v>
      </c>
      <c r="AF25" s="324">
        <f>IF(AF22&lt;=IN!$C$47,('CE CC opz2'!AF45+'CE CC opz2'!AF46)*-1,0)</f>
        <v>0</v>
      </c>
      <c r="AG25" s="324"/>
      <c r="AH25" s="323"/>
    </row>
    <row r="26" spans="2:34" x14ac:dyDescent="0.25">
      <c r="B26" s="325" t="s">
        <v>261</v>
      </c>
      <c r="C26" s="324">
        <f>-Investimenti!G7</f>
        <v>-5407753.2212252971</v>
      </c>
      <c r="D26" s="324">
        <f>-Investimenti!H7</f>
        <v>0</v>
      </c>
      <c r="E26" s="324">
        <f>-Investimenti!I7</f>
        <v>0</v>
      </c>
      <c r="F26" s="324">
        <f>-Investimenti!J7</f>
        <v>0</v>
      </c>
      <c r="G26" s="324">
        <f>-Investimenti!K7</f>
        <v>0</v>
      </c>
      <c r="H26" s="324">
        <f>-Investimenti!L7</f>
        <v>0</v>
      </c>
      <c r="I26" s="324">
        <f>-Investimenti!M7</f>
        <v>0</v>
      </c>
      <c r="J26" s="324">
        <f>-Investimenti!N7</f>
        <v>0</v>
      </c>
      <c r="K26" s="324">
        <f>-Investimenti!O7</f>
        <v>0</v>
      </c>
      <c r="L26" s="324">
        <f>-Investimenti!P7</f>
        <v>0</v>
      </c>
      <c r="M26" s="324">
        <f>-Investimenti!Q7</f>
        <v>0</v>
      </c>
      <c r="N26" s="324">
        <f>-Investimenti!R7</f>
        <v>0</v>
      </c>
      <c r="O26" s="324">
        <f>-Investimenti!S7</f>
        <v>0</v>
      </c>
      <c r="P26" s="324">
        <f>-Investimenti!T7</f>
        <v>0</v>
      </c>
      <c r="Q26" s="324">
        <f>-Investimenti!U7</f>
        <v>0</v>
      </c>
      <c r="R26" s="324">
        <f>-Investimenti!V7</f>
        <v>0</v>
      </c>
      <c r="S26" s="324">
        <f>-Investimenti!W7</f>
        <v>0</v>
      </c>
      <c r="T26" s="324">
        <f>-Investimenti!X7</f>
        <v>0</v>
      </c>
      <c r="U26" s="324">
        <f>-Investimenti!Y7</f>
        <v>0</v>
      </c>
      <c r="V26" s="324">
        <f>-Investimenti!Z7</f>
        <v>0</v>
      </c>
      <c r="W26" s="324">
        <f>-Investimenti!AA7</f>
        <v>0</v>
      </c>
      <c r="X26" s="324">
        <f>-Investimenti!AB7</f>
        <v>0</v>
      </c>
      <c r="Y26" s="324">
        <f>-Investimenti!AC7</f>
        <v>0</v>
      </c>
      <c r="Z26" s="324">
        <f>-Investimenti!AD7</f>
        <v>0</v>
      </c>
      <c r="AA26" s="324">
        <f>-Investimenti!AE7</f>
        <v>0</v>
      </c>
      <c r="AB26" s="324">
        <f>-Investimenti!AF7</f>
        <v>0</v>
      </c>
      <c r="AC26" s="324">
        <f>-Investimenti!AG7</f>
        <v>0</v>
      </c>
      <c r="AD26" s="324">
        <f>-Investimenti!AH7</f>
        <v>0</v>
      </c>
      <c r="AE26" s="324">
        <f>-Investimenti!AI7</f>
        <v>0</v>
      </c>
      <c r="AF26" s="324">
        <f>-Investimenti!AJ7</f>
        <v>0</v>
      </c>
      <c r="AG26" s="324"/>
    </row>
    <row r="27" spans="2:34" x14ac:dyDescent="0.25">
      <c r="B27" s="325" t="s">
        <v>262</v>
      </c>
      <c r="C27" s="324">
        <f>-'CE CC opz2'!C91</f>
        <v>1082506.7491739865</v>
      </c>
      <c r="D27" s="324">
        <f>-'CE CC opz2'!D91</f>
        <v>-1177737.5915677424</v>
      </c>
      <c r="E27" s="324">
        <f>-'CE CC opz2'!E91</f>
        <v>-224.71622591216874</v>
      </c>
      <c r="F27" s="324">
        <f>-'CE CC opz2'!F91</f>
        <v>-226.99661263499002</v>
      </c>
      <c r="G27" s="324">
        <f>-'CE CC opz2'!G91</f>
        <v>-229.30046771433263</v>
      </c>
      <c r="H27" s="324">
        <f>-'CE CC opz2'!H91</f>
        <v>-231.62803912360687</v>
      </c>
      <c r="I27" s="324">
        <f>-'CE CC opz2'!I91</f>
        <v>-233.97957758155826</v>
      </c>
      <c r="J27" s="324">
        <f>-'CE CC opz2'!J91</f>
        <v>5780.0830195788876</v>
      </c>
      <c r="K27" s="324">
        <f>-'CE CC opz2'!K91</f>
        <v>-6255.1939286082779</v>
      </c>
      <c r="L27" s="324">
        <f>-'CE CC opz2'!L91</f>
        <v>-241.18054431084602</v>
      </c>
      <c r="M27" s="324">
        <f>-'CE CC opz2'!M91</f>
        <v>-243.6305142192723</v>
      </c>
      <c r="N27" s="324">
        <f>-'CE CC opz2'!N91</f>
        <v>-246.10574711610388</v>
      </c>
      <c r="O27" s="324">
        <f>-'CE CC opz2'!O91</f>
        <v>-248.60651089697785</v>
      </c>
      <c r="P27" s="324">
        <f>-'CE CC opz2'!P91</f>
        <v>5765.3052797224809</v>
      </c>
      <c r="Q27" s="324">
        <f>-'CE CC opz2'!Q91</f>
        <v>-6270.1240738153429</v>
      </c>
      <c r="R27" s="324">
        <f>-'CE CC opz2'!R91</f>
        <v>-256.26471148090786</v>
      </c>
      <c r="S27" s="324">
        <f>-'CE CC opz2'!S91</f>
        <v>-258.87033798238554</v>
      </c>
      <c r="T27" s="324">
        <f>-'CE CC opz2'!T91</f>
        <v>-261.50288033661491</v>
      </c>
      <c r="U27" s="324">
        <f>-'CE CC opz2'!U91</f>
        <v>-264.16262489366636</v>
      </c>
      <c r="V27" s="324">
        <f>-'CE CC opz2'!V91</f>
        <v>-266.84986121157999</v>
      </c>
      <c r="W27" s="324">
        <f>-'CE CC opz2'!W91</f>
        <v>-269.5648820939532</v>
      </c>
      <c r="X27" s="324">
        <f>-'CE CC opz2'!X91</f>
        <v>-272.3079836305551</v>
      </c>
      <c r="Y27" s="324">
        <f>-'CE CC opz2'!Y91</f>
        <v>-275.07946523689316</v>
      </c>
      <c r="Z27" s="324">
        <f>-'CE CC opz2'!Z91</f>
        <v>100461.51908325459</v>
      </c>
      <c r="AA27" s="324">
        <f>-'CE CC opz2'!AA91</f>
        <v>0</v>
      </c>
      <c r="AB27" s="324">
        <f>-'CE CC opz2'!AB91</f>
        <v>0</v>
      </c>
      <c r="AC27" s="324">
        <f>-'CE CC opz2'!AC91</f>
        <v>0</v>
      </c>
      <c r="AD27" s="324">
        <f>-'CE CC opz2'!AD91</f>
        <v>0</v>
      </c>
      <c r="AE27" s="324">
        <f>-'CE CC opz2'!AE91</f>
        <v>0</v>
      </c>
      <c r="AF27" s="324">
        <f>-'CE CC opz2'!AF91</f>
        <v>0</v>
      </c>
      <c r="AG27" s="324"/>
    </row>
    <row r="28" spans="2:34" x14ac:dyDescent="0.25">
      <c r="B28" s="322" t="s">
        <v>267</v>
      </c>
      <c r="C28" s="324">
        <f>IN!Q52</f>
        <v>2610863.2552075735</v>
      </c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4"/>
      <c r="T28" s="324"/>
      <c r="U28" s="324"/>
      <c r="V28" s="324"/>
      <c r="W28" s="324"/>
      <c r="X28" s="324"/>
      <c r="Y28" s="324"/>
      <c r="Z28" s="324"/>
      <c r="AA28" s="324"/>
      <c r="AB28" s="324"/>
      <c r="AC28" s="324"/>
      <c r="AD28" s="324"/>
      <c r="AE28" s="324"/>
      <c r="AF28" s="324"/>
      <c r="AG28" s="324"/>
    </row>
    <row r="29" spans="2:34" x14ac:dyDescent="0.25">
      <c r="B29" s="322" t="s">
        <v>268</v>
      </c>
      <c r="C29" s="324">
        <f>IN!O57*-1</f>
        <v>-155330.14604101612</v>
      </c>
      <c r="D29" s="324">
        <f>IN!O58*-1</f>
        <v>-155330.14604101612</v>
      </c>
      <c r="E29" s="324">
        <f>IN!O59*-1</f>
        <v>-155330.14604101612</v>
      </c>
      <c r="F29" s="324">
        <f>IN!O60*-1</f>
        <v>-155330.14604101612</v>
      </c>
      <c r="G29" s="324">
        <f>IN!O61*-1</f>
        <v>-155330.14604101612</v>
      </c>
      <c r="H29" s="324">
        <f>IN!O62*-1</f>
        <v>-155330.14604101612</v>
      </c>
      <c r="I29" s="324">
        <f>IN!O63*-1</f>
        <v>-155330.14604101612</v>
      </c>
      <c r="J29" s="324">
        <f>IN!O64*-1</f>
        <v>-155330.14604101612</v>
      </c>
      <c r="K29" s="324">
        <f>IN!O65*-1</f>
        <v>-155330.14604101612</v>
      </c>
      <c r="L29" s="324">
        <f>IN!O66*-1</f>
        <v>-155330.14604101612</v>
      </c>
      <c r="M29" s="324">
        <f>IN!O67*-1</f>
        <v>-155330.14604101612</v>
      </c>
      <c r="N29" s="324">
        <f>IN!O68*-1</f>
        <v>-155330.14604101612</v>
      </c>
      <c r="O29" s="324">
        <f>IN!O69*-1</f>
        <v>-155330.14604101612</v>
      </c>
      <c r="P29" s="324">
        <f>IN!O70*-1</f>
        <v>-155330.14604101612</v>
      </c>
      <c r="Q29" s="324">
        <f>IN!O71*-1</f>
        <v>-155330.14604101612</v>
      </c>
      <c r="R29" s="324">
        <f>IN!O72*-1</f>
        <v>-155330.14604101612</v>
      </c>
      <c r="S29" s="324">
        <f>IN!O73*-1</f>
        <v>-155330.14604101612</v>
      </c>
      <c r="T29" s="324">
        <f>IN!O74*-1</f>
        <v>-155330.14604101612</v>
      </c>
      <c r="U29" s="324">
        <f>IN!O75*-1</f>
        <v>-155330.14604101612</v>
      </c>
      <c r="V29" s="324">
        <f>IN!O76*-1</f>
        <v>-155330.14604101612</v>
      </c>
      <c r="W29" s="324">
        <f>IN!O77*-1</f>
        <v>-155330.14604101612</v>
      </c>
      <c r="X29" s="324">
        <f>IN!O78*-1</f>
        <v>-155330.14604101612</v>
      </c>
      <c r="Y29" s="324">
        <f>IN!O79*-1</f>
        <v>-155330.14604101612</v>
      </c>
      <c r="Z29" s="324">
        <f>IN!O80*-1</f>
        <v>0</v>
      </c>
      <c r="AA29" s="324">
        <f>IN!O81*-1</f>
        <v>0</v>
      </c>
      <c r="AB29" s="324">
        <f>IN!O82*-1</f>
        <v>0</v>
      </c>
      <c r="AC29" s="324">
        <f>IN!O83*-1</f>
        <v>0</v>
      </c>
      <c r="AD29" s="324">
        <f>IN!O84*-1</f>
        <v>0</v>
      </c>
      <c r="AE29" s="324">
        <f>IN!O85*-1</f>
        <v>0</v>
      </c>
      <c r="AF29" s="324">
        <f>IN!O86*-1</f>
        <v>0</v>
      </c>
      <c r="AG29" s="324"/>
    </row>
    <row r="30" spans="2:34" s="428" customFormat="1" x14ac:dyDescent="0.25">
      <c r="B30" s="433" t="s">
        <v>263</v>
      </c>
      <c r="C30" s="434">
        <f>SUM(C23:C29)</f>
        <v>-1789620.0117612039</v>
      </c>
      <c r="D30" s="434">
        <f>SUM(D23:D29)</f>
        <v>-910327.24189755705</v>
      </c>
      <c r="E30" s="434">
        <f t="shared" ref="E30:AB30" si="4">SUM(E23:E29)</f>
        <v>267408.03807393194</v>
      </c>
      <c r="F30" s="434">
        <f t="shared" si="4"/>
        <v>267620.34270511603</v>
      </c>
      <c r="G30" s="434">
        <f t="shared" si="4"/>
        <v>267824.44490231026</v>
      </c>
      <c r="H30" s="434">
        <f t="shared" si="4"/>
        <v>268019.97360702546</v>
      </c>
      <c r="I30" s="434">
        <f t="shared" si="4"/>
        <v>268206.54596706945</v>
      </c>
      <c r="J30" s="434">
        <f t="shared" si="4"/>
        <v>252860.20534887465</v>
      </c>
      <c r="K30" s="434">
        <f t="shared" si="4"/>
        <v>262534.79084692546</v>
      </c>
      <c r="L30" s="434">
        <f t="shared" si="4"/>
        <v>268708.51226261619</v>
      </c>
      <c r="M30" s="434">
        <f t="shared" si="4"/>
        <v>268855.18260705122</v>
      </c>
      <c r="N30" s="434">
        <f t="shared" si="4"/>
        <v>268990.79305900622</v>
      </c>
      <c r="O30" s="434">
        <f t="shared" si="4"/>
        <v>269114.88243254623</v>
      </c>
      <c r="P30" s="434">
        <f t="shared" si="4"/>
        <v>253703.41348276459</v>
      </c>
      <c r="Q30" s="434">
        <f t="shared" si="4"/>
        <v>263310.1423506951</v>
      </c>
      <c r="R30" s="434">
        <f t="shared" si="4"/>
        <v>269413.19347584399</v>
      </c>
      <c r="S30" s="434">
        <f t="shared" si="4"/>
        <v>269486.29203080421</v>
      </c>
      <c r="T30" s="434">
        <f t="shared" si="4"/>
        <v>269545.33880911593</v>
      </c>
      <c r="U30" s="434">
        <f t="shared" si="4"/>
        <v>269589.77962081763</v>
      </c>
      <c r="V30" s="434">
        <f t="shared" si="4"/>
        <v>269619.04316793196</v>
      </c>
      <c r="W30" s="434">
        <f t="shared" si="4"/>
        <v>269946.0164962362</v>
      </c>
      <c r="X30" s="434">
        <f t="shared" si="4"/>
        <v>269960.51207112754</v>
      </c>
      <c r="Y30" s="434">
        <f t="shared" si="4"/>
        <v>269958.1825401627</v>
      </c>
      <c r="Z30" s="434">
        <f t="shared" si="4"/>
        <v>100461.51908325459</v>
      </c>
      <c r="AA30" s="434">
        <f t="shared" si="4"/>
        <v>0</v>
      </c>
      <c r="AB30" s="434">
        <f t="shared" si="4"/>
        <v>0</v>
      </c>
      <c r="AC30" s="434">
        <f>SUM(AC23:AC29)</f>
        <v>0</v>
      </c>
      <c r="AD30" s="434">
        <f>SUM(AD23:AD29)</f>
        <v>0</v>
      </c>
      <c r="AE30" s="434">
        <f>SUM(AE23:AE29)</f>
        <v>0</v>
      </c>
      <c r="AF30" s="434">
        <f>SUM(AF23:AF29)</f>
        <v>0</v>
      </c>
      <c r="AG30" s="434">
        <f>SUM(AG23:AG29)</f>
        <v>0</v>
      </c>
    </row>
    <row r="31" spans="2:34" s="428" customFormat="1" x14ac:dyDescent="0.25">
      <c r="B31" s="433" t="s">
        <v>264</v>
      </c>
      <c r="C31" s="434">
        <f t="shared" ref="C31:AG31" si="5">C30/((1+$C$33)^(C22-1))</f>
        <v>-1789620.0117612039</v>
      </c>
      <c r="D31" s="434">
        <f t="shared" si="5"/>
        <v>-850575.92558717064</v>
      </c>
      <c r="E31" s="434">
        <f t="shared" si="5"/>
        <v>233456.27506418957</v>
      </c>
      <c r="F31" s="434">
        <f t="shared" si="5"/>
        <v>218306.04601496283</v>
      </c>
      <c r="G31" s="434">
        <f t="shared" si="5"/>
        <v>204132.61626682701</v>
      </c>
      <c r="H31" s="434">
        <f t="shared" si="5"/>
        <v>190873.17402779215</v>
      </c>
      <c r="I31" s="434">
        <f t="shared" si="5"/>
        <v>178468.94470611482</v>
      </c>
      <c r="J31" s="434">
        <f t="shared" si="5"/>
        <v>157213.31154646628</v>
      </c>
      <c r="K31" s="434">
        <f t="shared" si="5"/>
        <v>152514.53690774235</v>
      </c>
      <c r="L31" s="434">
        <f t="shared" si="5"/>
        <v>145855.00888502138</v>
      </c>
      <c r="M31" s="434">
        <f t="shared" si="5"/>
        <v>136355.884014679</v>
      </c>
      <c r="N31" s="434">
        <f t="shared" si="5"/>
        <v>127470.13129230635</v>
      </c>
      <c r="O31" s="434">
        <f t="shared" si="5"/>
        <v>119158.29499321899</v>
      </c>
      <c r="P31" s="434">
        <f t="shared" si="5"/>
        <v>104961.11183138705</v>
      </c>
      <c r="Q31" s="434">
        <f t="shared" si="5"/>
        <v>101785.34355690272</v>
      </c>
      <c r="R31" s="434">
        <f t="shared" si="5"/>
        <v>97308.788561239548</v>
      </c>
      <c r="S31" s="434">
        <f t="shared" si="5"/>
        <v>90946.383081590509</v>
      </c>
      <c r="T31" s="434">
        <f t="shared" si="5"/>
        <v>84995.537815856107</v>
      </c>
      <c r="U31" s="434">
        <f t="shared" si="5"/>
        <v>79429.763778481429</v>
      </c>
      <c r="V31" s="434">
        <f t="shared" si="5"/>
        <v>74224.27384409857</v>
      </c>
      <c r="W31" s="434">
        <f t="shared" si="5"/>
        <v>69436.506836033732</v>
      </c>
      <c r="X31" s="434">
        <f t="shared" si="5"/>
        <v>64882.373958388453</v>
      </c>
      <c r="Y31" s="434">
        <f t="shared" si="5"/>
        <v>60623.154535548987</v>
      </c>
      <c r="Z31" s="434">
        <f t="shared" si="5"/>
        <v>21079.355270477194</v>
      </c>
      <c r="AA31" s="434">
        <f t="shared" si="5"/>
        <v>0</v>
      </c>
      <c r="AB31" s="434">
        <f t="shared" si="5"/>
        <v>0</v>
      </c>
      <c r="AC31" s="434">
        <f t="shared" si="5"/>
        <v>0</v>
      </c>
      <c r="AD31" s="434">
        <f t="shared" si="5"/>
        <v>0</v>
      </c>
      <c r="AE31" s="434">
        <f t="shared" si="5"/>
        <v>0</v>
      </c>
      <c r="AF31" s="434">
        <f t="shared" si="5"/>
        <v>0</v>
      </c>
      <c r="AG31" s="434">
        <f t="shared" si="5"/>
        <v>0</v>
      </c>
    </row>
    <row r="32" spans="2:34" x14ac:dyDescent="0.25">
      <c r="B32" s="347"/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8"/>
      <c r="T32" s="348"/>
      <c r="U32" s="348"/>
      <c r="V32" s="348"/>
      <c r="W32" s="327"/>
      <c r="X32" s="99"/>
      <c r="Y32" s="99"/>
      <c r="Z32" s="99"/>
      <c r="AA32" s="99"/>
      <c r="AB32" s="99"/>
      <c r="AC32" s="99"/>
      <c r="AD32" s="99"/>
      <c r="AE32" s="99"/>
      <c r="AF32" s="99"/>
      <c r="AG32" s="99"/>
    </row>
    <row r="33" spans="2:33" x14ac:dyDescent="0.25">
      <c r="B33" s="131" t="s">
        <v>49</v>
      </c>
      <c r="C33" s="214">
        <f>IN!C45</f>
        <v>7.0248068999999996E-2</v>
      </c>
      <c r="D33" s="219"/>
      <c r="E33" s="217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</row>
    <row r="34" spans="2:33" x14ac:dyDescent="0.25">
      <c r="B34" s="131" t="s">
        <v>19</v>
      </c>
      <c r="C34" s="215">
        <f>C30+NPV(C33,D30:AG30)</f>
        <v>73280.879440949764</v>
      </c>
      <c r="D34" s="216"/>
      <c r="E34" s="217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</row>
    <row r="35" spans="2:33" x14ac:dyDescent="0.25">
      <c r="B35" s="131" t="s">
        <v>21</v>
      </c>
      <c r="C35" s="214">
        <f>IRR(C30:AG30,0.1%)</f>
        <v>7.3390158199526212E-2</v>
      </c>
      <c r="D35" s="219"/>
      <c r="E35" s="217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</row>
    <row r="36" spans="2:33" x14ac:dyDescent="0.25">
      <c r="B36" s="130"/>
      <c r="C36" s="289"/>
      <c r="D36" s="219"/>
      <c r="E36" s="217"/>
      <c r="F36" s="99"/>
      <c r="G36" s="99"/>
      <c r="H36" s="99"/>
      <c r="I36" s="397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</row>
    <row r="37" spans="2:33" x14ac:dyDescent="0.25">
      <c r="B37" s="130"/>
      <c r="C37" s="278"/>
      <c r="D37" s="219"/>
      <c r="E37" s="217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99"/>
      <c r="AE37" s="99"/>
      <c r="AF37" s="99"/>
      <c r="AG37" s="99"/>
    </row>
    <row r="38" spans="2:33" ht="23.25" x14ac:dyDescent="0.35">
      <c r="B38" s="175" t="s">
        <v>269</v>
      </c>
      <c r="C38" s="126"/>
      <c r="D38" s="127"/>
      <c r="E38" s="127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</row>
    <row r="39" spans="2:33" x14ac:dyDescent="0.25">
      <c r="B39" s="130"/>
      <c r="C39" s="278"/>
      <c r="D39" s="219"/>
      <c r="E39" s="217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</row>
    <row r="40" spans="2:33" x14ac:dyDescent="0.25">
      <c r="B40" s="131" t="s">
        <v>270</v>
      </c>
      <c r="C40" s="315">
        <f>SUM(C48:AG48)+1</f>
        <v>24</v>
      </c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2"/>
      <c r="AF40" s="222"/>
      <c r="AG40" s="222"/>
    </row>
    <row r="41" spans="2:33" x14ac:dyDescent="0.25">
      <c r="B41" s="131" t="s">
        <v>271</v>
      </c>
      <c r="C41" s="315">
        <f>SUM(C53:AG53)+1</f>
        <v>15</v>
      </c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2"/>
      <c r="AF41" s="222"/>
      <c r="AG41" s="222"/>
    </row>
    <row r="42" spans="2:33" x14ac:dyDescent="0.25"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1"/>
      <c r="AE42" s="222"/>
      <c r="AF42" s="222"/>
      <c r="AG42" s="222"/>
    </row>
    <row r="43" spans="2:33" hidden="1" outlineLevel="1" x14ac:dyDescent="0.25"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1"/>
      <c r="AE43" s="222"/>
      <c r="AF43" s="222"/>
      <c r="AG43" s="222"/>
    </row>
    <row r="44" spans="2:33" hidden="1" outlineLevel="1" x14ac:dyDescent="0.25">
      <c r="B44" s="1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  <c r="AA44" s="314"/>
      <c r="AB44" s="314"/>
      <c r="AC44" s="314"/>
      <c r="AD44" s="314"/>
      <c r="AE44" s="314"/>
      <c r="AF44" s="314"/>
      <c r="AG44" s="314"/>
    </row>
    <row r="45" spans="2:33" hidden="1" outlineLevel="1" x14ac:dyDescent="0.25">
      <c r="B45" s="396" t="s">
        <v>270</v>
      </c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1"/>
      <c r="AE45" s="222"/>
      <c r="AF45" s="222"/>
      <c r="AG45" s="222"/>
    </row>
    <row r="46" spans="2:33" hidden="1" outlineLevel="1" x14ac:dyDescent="0.25">
      <c r="B46" s="312" t="s">
        <v>79</v>
      </c>
      <c r="C46" s="313">
        <v>1</v>
      </c>
      <c r="D46" s="313">
        <f>C46+1</f>
        <v>2</v>
      </c>
      <c r="E46" s="313">
        <f t="shared" ref="E46:AG46" si="6">D46+1</f>
        <v>3</v>
      </c>
      <c r="F46" s="313">
        <f t="shared" si="6"/>
        <v>4</v>
      </c>
      <c r="G46" s="313">
        <f t="shared" si="6"/>
        <v>5</v>
      </c>
      <c r="H46" s="313">
        <f t="shared" si="6"/>
        <v>6</v>
      </c>
      <c r="I46" s="313">
        <f t="shared" si="6"/>
        <v>7</v>
      </c>
      <c r="J46" s="313">
        <f t="shared" si="6"/>
        <v>8</v>
      </c>
      <c r="K46" s="313">
        <f t="shared" si="6"/>
        <v>9</v>
      </c>
      <c r="L46" s="313">
        <f t="shared" si="6"/>
        <v>10</v>
      </c>
      <c r="M46" s="313">
        <f t="shared" si="6"/>
        <v>11</v>
      </c>
      <c r="N46" s="313">
        <f t="shared" si="6"/>
        <v>12</v>
      </c>
      <c r="O46" s="313">
        <f t="shared" si="6"/>
        <v>13</v>
      </c>
      <c r="P46" s="313">
        <f t="shared" si="6"/>
        <v>14</v>
      </c>
      <c r="Q46" s="313">
        <f t="shared" si="6"/>
        <v>15</v>
      </c>
      <c r="R46" s="313">
        <f t="shared" si="6"/>
        <v>16</v>
      </c>
      <c r="S46" s="313">
        <f t="shared" si="6"/>
        <v>17</v>
      </c>
      <c r="T46" s="313">
        <f t="shared" si="6"/>
        <v>18</v>
      </c>
      <c r="U46" s="313">
        <f t="shared" si="6"/>
        <v>19</v>
      </c>
      <c r="V46" s="313">
        <f t="shared" si="6"/>
        <v>20</v>
      </c>
      <c r="W46" s="313">
        <f t="shared" si="6"/>
        <v>21</v>
      </c>
      <c r="X46" s="313">
        <f t="shared" si="6"/>
        <v>22</v>
      </c>
      <c r="Y46" s="313">
        <f t="shared" si="6"/>
        <v>23</v>
      </c>
      <c r="Z46" s="313">
        <f t="shared" si="6"/>
        <v>24</v>
      </c>
      <c r="AA46" s="313">
        <f t="shared" si="6"/>
        <v>25</v>
      </c>
      <c r="AB46" s="313">
        <f t="shared" si="6"/>
        <v>26</v>
      </c>
      <c r="AC46" s="313">
        <f t="shared" si="6"/>
        <v>27</v>
      </c>
      <c r="AD46" s="313">
        <f t="shared" si="6"/>
        <v>28</v>
      </c>
      <c r="AE46" s="313">
        <f t="shared" si="6"/>
        <v>29</v>
      </c>
      <c r="AF46" s="313">
        <f t="shared" si="6"/>
        <v>30</v>
      </c>
      <c r="AG46" s="313">
        <f t="shared" si="6"/>
        <v>31</v>
      </c>
    </row>
    <row r="47" spans="2:33" hidden="1" outlineLevel="1" x14ac:dyDescent="0.25">
      <c r="B47" s="1" t="s">
        <v>272</v>
      </c>
      <c r="C47" s="336">
        <f>C12</f>
        <v>-4317111.8911279952</v>
      </c>
      <c r="D47" s="336">
        <f>IF(D46&lt;=(IN!$C$47+1),SUM($C$12:D12),0)</f>
        <v>-5052420.619315723</v>
      </c>
      <c r="E47" s="336">
        <f>IF(E46&lt;=(IN!$C$47+1),SUM($C$12:E12),0)</f>
        <v>-4683685.2227625437</v>
      </c>
      <c r="F47" s="336">
        <f>IF(F46&lt;=(IN!$C$47+1),SUM($C$12:F12),0)</f>
        <v>-4331753.8399844943</v>
      </c>
      <c r="G47" s="336">
        <f>IF(G46&lt;=(IN!$C$47+1),SUM($C$12:G12),0)</f>
        <v>-3995855.3095053486</v>
      </c>
      <c r="H47" s="336">
        <f>IF(H46&lt;=(IN!$C$47+1),SUM($C$12:H12),0)</f>
        <v>-3675254.0697432123</v>
      </c>
      <c r="I47" s="336">
        <f>IF(I46&lt;=(IN!$C$47+1),SUM($C$12:I12),0)</f>
        <v>-3369248.5073923348</v>
      </c>
      <c r="J47" s="336">
        <f>IF(J46&lt;=(IN!$C$47+1),SUM($C$12:J12),0)</f>
        <v>-3088216.4091391726</v>
      </c>
      <c r="K47" s="336">
        <f>IF(K46&lt;=(IN!$C$47+1),SUM($C$12:K12),0)</f>
        <v>-2813503.7275856258</v>
      </c>
      <c r="L47" s="336">
        <f>IF(L46&lt;=(IN!$C$47+1),SUM($C$12:L12),0)</f>
        <v>-2547391.8169055628</v>
      </c>
      <c r="M47" s="336">
        <f>IF(M46&lt;=(IN!$C$47+1),SUM($C$12:M12),0)</f>
        <v>-2293378.1994383009</v>
      </c>
      <c r="N47" s="336">
        <f>IF(N46&lt;=(IN!$C$47+1),SUM($C$12:N12),0)</f>
        <v>-2050908.7995721765</v>
      </c>
      <c r="O47" s="336">
        <f>IF(O46&lt;=(IN!$C$47+1),SUM($C$12:O12),0)</f>
        <v>-1819455.0759062725</v>
      </c>
      <c r="P47" s="336">
        <f>IF(P46&lt;=(IN!$C$47+1),SUM($C$12:P12),0)</f>
        <v>-1606765.7268929584</v>
      </c>
      <c r="Q47" s="336">
        <f>IF(Q46&lt;=(IN!$C$47+1),SUM($C$12:Q12),0)</f>
        <v>-1398900.833726686</v>
      </c>
      <c r="R47" s="336">
        <f>IF(R46&lt;=(IN!$C$47+1),SUM($C$12:R12),0)</f>
        <v>-1197560.8162348191</v>
      </c>
      <c r="S47" s="336">
        <f>IF(S46&lt;=(IN!$C$47+1),SUM($C$12:S12),0)</f>
        <v>-1005354.8033581731</v>
      </c>
      <c r="T47" s="336">
        <f>IF(T46&lt;=(IN!$C$47+1),SUM($C$12:T12),0)</f>
        <v>-821865.24393368082</v>
      </c>
      <c r="U47" s="336">
        <f>IF(U46&lt;=(IN!$C$47+1),SUM($C$12:U12),0)</f>
        <v>-646693.79947345506</v>
      </c>
      <c r="V47" s="336">
        <f>IF(V46&lt;=(IN!$C$47+1),SUM($C$12:V12),0)</f>
        <v>-479460.45526224008</v>
      </c>
      <c r="W47" s="336">
        <f>IF(W46&lt;=(IN!$C$47+1),SUM($C$12:W12),0)</f>
        <v>-319684.07600298332</v>
      </c>
      <c r="X47" s="336">
        <f>IF(X46&lt;=(IN!$C$47+1),SUM($C$12:X12),0)</f>
        <v>-167136.75355511598</v>
      </c>
      <c r="Y47" s="336">
        <f>IF(Y46&lt;=(IN!$C$47+1),SUM($C$12:Y12),0)</f>
        <v>-21488.782150727289</v>
      </c>
      <c r="Z47" s="336">
        <f>IF(Z46&lt;=(IN!$C$47+1),SUM($C$12:Z12),0)</f>
        <v>11362.223348045249</v>
      </c>
      <c r="AA47" s="336">
        <f>IF(AA46&lt;=(IN!$C$47+1),SUM($C$12:AA12),0)</f>
        <v>0</v>
      </c>
      <c r="AB47" s="336">
        <f>IF(AB46&lt;=(IN!$C$47+1),SUM($C$12:AB12),0)</f>
        <v>0</v>
      </c>
      <c r="AC47" s="336">
        <f>IF(AC46&lt;=(IN!$C$47+1),SUM($C$12:AC12),0)</f>
        <v>0</v>
      </c>
      <c r="AD47" s="336">
        <f>IF(AD46&lt;=(IN!$C$47+1),SUM($C$12:AD12),0)</f>
        <v>0</v>
      </c>
      <c r="AE47" s="336">
        <f>IF(AE46&lt;=(IN!$C$47+1),SUM($C$12:AE12),0)</f>
        <v>0</v>
      </c>
      <c r="AF47" s="336">
        <f>IF(AF46&lt;=(IN!$C$47+1),SUM($C$12:AF12),0)</f>
        <v>0</v>
      </c>
      <c r="AG47" s="336">
        <f>IF(AG46&lt;=(IN!$C$47+1),SUM($C$12:AG12),0)</f>
        <v>0</v>
      </c>
    </row>
    <row r="48" spans="2:33" hidden="1" outlineLevel="1" x14ac:dyDescent="0.25">
      <c r="B48" s="1" t="s">
        <v>273</v>
      </c>
      <c r="C48" s="314">
        <f>IF(AND(C46&lt;=IN!$C$47,'RF VAL_INV opz2'!C47&lt;=0),1,0)</f>
        <v>1</v>
      </c>
      <c r="D48" s="314">
        <f>IF(AND(D46&lt;=IN!$C$47,'RF VAL_INV opz2'!D47&lt;=0),1,0)</f>
        <v>1</v>
      </c>
      <c r="E48" s="314">
        <f>IF(AND(E46&lt;=IN!$C$47,'RF VAL_INV opz2'!E47&lt;=0),1,0)</f>
        <v>1</v>
      </c>
      <c r="F48" s="314">
        <f>IF(AND(F46&lt;=IN!$C$47,'RF VAL_INV opz2'!F47&lt;=0),1,0)</f>
        <v>1</v>
      </c>
      <c r="G48" s="314">
        <f>IF(AND(G46&lt;=IN!$C$47,'RF VAL_INV opz2'!G47&lt;=0),1,0)</f>
        <v>1</v>
      </c>
      <c r="H48" s="314">
        <f>IF(AND(H46&lt;=IN!$C$47,'RF VAL_INV opz2'!H47&lt;=0),1,0)</f>
        <v>1</v>
      </c>
      <c r="I48" s="314">
        <f>IF(AND(I46&lt;=IN!$C$47,'RF VAL_INV opz2'!I47&lt;=0),1,0)</f>
        <v>1</v>
      </c>
      <c r="J48" s="314">
        <f>IF(AND(J46&lt;=IN!$C$47,'RF VAL_INV opz2'!J47&lt;=0),1,0)</f>
        <v>1</v>
      </c>
      <c r="K48" s="314">
        <f>IF(AND(K46&lt;=IN!$C$47,'RF VAL_INV opz2'!K47&lt;=0),1,0)</f>
        <v>1</v>
      </c>
      <c r="L48" s="314">
        <f>IF(AND(L46&lt;=IN!$C$47,'RF VAL_INV opz2'!L47&lt;=0),1,0)</f>
        <v>1</v>
      </c>
      <c r="M48" s="314">
        <f>IF(AND(M46&lt;=IN!$C$47,'RF VAL_INV opz2'!M47&lt;=0),1,0)</f>
        <v>1</v>
      </c>
      <c r="N48" s="314">
        <f>IF(AND(N46&lt;=IN!$C$47,'RF VAL_INV opz2'!N47&lt;=0),1,0)</f>
        <v>1</v>
      </c>
      <c r="O48" s="314">
        <f>IF(AND(O46&lt;=IN!$C$47,'RF VAL_INV opz2'!O47&lt;=0),1,0)</f>
        <v>1</v>
      </c>
      <c r="P48" s="314">
        <f>IF(AND(P46&lt;=IN!$C$47,'RF VAL_INV opz2'!P47&lt;=0),1,0)</f>
        <v>1</v>
      </c>
      <c r="Q48" s="314">
        <f>IF(AND(Q46&lt;=IN!$C$47,'RF VAL_INV opz2'!Q47&lt;=0),1,0)</f>
        <v>1</v>
      </c>
      <c r="R48" s="314">
        <f>IF(AND(R46&lt;=IN!$C$47,'RF VAL_INV opz2'!R47&lt;=0),1,0)</f>
        <v>1</v>
      </c>
      <c r="S48" s="314">
        <f>IF(AND(S46&lt;=IN!$C$47,'RF VAL_INV opz2'!S47&lt;=0),1,0)</f>
        <v>1</v>
      </c>
      <c r="T48" s="314">
        <f>IF(AND(T46&lt;=IN!$C$47,'RF VAL_INV opz2'!T47&lt;=0),1,0)</f>
        <v>1</v>
      </c>
      <c r="U48" s="314">
        <f>IF(AND(U46&lt;=IN!$C$47,'RF VAL_INV opz2'!U47&lt;=0),1,0)</f>
        <v>1</v>
      </c>
      <c r="V48" s="314">
        <f>IF(AND(V46&lt;=IN!$C$47,'RF VAL_INV opz2'!V47&lt;=0),1,0)</f>
        <v>1</v>
      </c>
      <c r="W48" s="314">
        <f>IF(AND(W46&lt;=IN!$C$47,'RF VAL_INV opz2'!W47&lt;=0),1,0)</f>
        <v>1</v>
      </c>
      <c r="X48" s="314">
        <f>IF(AND(X46&lt;=IN!$C$47,'RF VAL_INV opz2'!X47&lt;=0),1,0)</f>
        <v>1</v>
      </c>
      <c r="Y48" s="314">
        <f>IF(AND(Y46&lt;=IN!$C$47,'RF VAL_INV opz2'!Y47&lt;=0),1,0)</f>
        <v>1</v>
      </c>
      <c r="Z48" s="314">
        <f>IF(AND(Z46&lt;=IN!$C$47,'RF VAL_INV opz2'!Z47&lt;=0),1,0)</f>
        <v>0</v>
      </c>
      <c r="AA48" s="314">
        <f>IF(AND(AA46&lt;=IN!$C$47,'RF VAL_INV opz2'!AA47&lt;=0),1,0)</f>
        <v>0</v>
      </c>
      <c r="AB48" s="314">
        <f>IF(AND(AB46&lt;=IN!$C$47,'RF VAL_INV opz2'!AB47&lt;=0),1,0)</f>
        <v>0</v>
      </c>
      <c r="AC48" s="314">
        <f>IF(AND(AC46&lt;=IN!$C$47,'RF VAL_INV opz2'!AC47&lt;=0),1,0)</f>
        <v>0</v>
      </c>
      <c r="AD48" s="314">
        <f>IF(AND(AD46&lt;=IN!$C$47,'RF VAL_INV opz2'!AD47&lt;=0),1,0)</f>
        <v>0</v>
      </c>
      <c r="AE48" s="314">
        <f>IF(AND(AE46&lt;=IN!$C$47,'RF VAL_INV opz2'!AE47&lt;=0),1,0)</f>
        <v>0</v>
      </c>
      <c r="AF48" s="314">
        <f>IF(AND(AF46&lt;=IN!$C$47,'RF VAL_INV opz2'!AF47&lt;=0),1,0)</f>
        <v>0</v>
      </c>
      <c r="AG48" s="314">
        <f>IF(AND(AG46&lt;=IN!$C$47,'RF VAL_INV opz2'!AG47&lt;=0),1,0)</f>
        <v>0</v>
      </c>
    </row>
    <row r="49" spans="2:33" hidden="1" outlineLevel="1" x14ac:dyDescent="0.25">
      <c r="B49" s="1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  <c r="Z49" s="314"/>
      <c r="AA49" s="314"/>
      <c r="AB49" s="314"/>
      <c r="AC49" s="314"/>
      <c r="AD49" s="314"/>
      <c r="AE49" s="314"/>
      <c r="AF49" s="314"/>
      <c r="AG49" s="314"/>
    </row>
    <row r="50" spans="2:33" hidden="1" outlineLevel="1" x14ac:dyDescent="0.25">
      <c r="B50" s="396" t="s">
        <v>271</v>
      </c>
      <c r="C50" s="689"/>
      <c r="D50" s="689"/>
      <c r="E50" s="689"/>
      <c r="F50" s="689"/>
      <c r="G50" s="689"/>
      <c r="H50" s="689"/>
      <c r="I50" s="689"/>
      <c r="J50" s="689"/>
      <c r="K50" s="689"/>
      <c r="L50" s="689"/>
      <c r="M50" s="689"/>
      <c r="N50" s="689"/>
      <c r="O50" s="689"/>
      <c r="P50" s="689"/>
      <c r="Q50" s="689"/>
      <c r="R50" s="689"/>
      <c r="S50" s="689"/>
      <c r="T50" s="689"/>
      <c r="U50" s="689"/>
      <c r="V50" s="689"/>
      <c r="W50" s="689"/>
      <c r="X50" s="689"/>
      <c r="Y50" s="689"/>
      <c r="Z50" s="689"/>
      <c r="AA50" s="221"/>
      <c r="AB50" s="221"/>
      <c r="AC50" s="221"/>
      <c r="AD50" s="221"/>
      <c r="AE50" s="222"/>
      <c r="AF50" s="222"/>
      <c r="AG50" s="222"/>
    </row>
    <row r="51" spans="2:33" hidden="1" outlineLevel="1" x14ac:dyDescent="0.25">
      <c r="B51" s="312" t="s">
        <v>79</v>
      </c>
      <c r="C51" s="313">
        <v>1</v>
      </c>
      <c r="D51" s="313">
        <f>C51+1</f>
        <v>2</v>
      </c>
      <c r="E51" s="313">
        <f t="shared" ref="E51:AG51" si="7">D51+1</f>
        <v>3</v>
      </c>
      <c r="F51" s="313">
        <f t="shared" si="7"/>
        <v>4</v>
      </c>
      <c r="G51" s="313">
        <f t="shared" si="7"/>
        <v>5</v>
      </c>
      <c r="H51" s="313">
        <f t="shared" si="7"/>
        <v>6</v>
      </c>
      <c r="I51" s="313">
        <f t="shared" si="7"/>
        <v>7</v>
      </c>
      <c r="J51" s="313">
        <f t="shared" si="7"/>
        <v>8</v>
      </c>
      <c r="K51" s="313">
        <f t="shared" si="7"/>
        <v>9</v>
      </c>
      <c r="L51" s="313">
        <f t="shared" si="7"/>
        <v>10</v>
      </c>
      <c r="M51" s="313">
        <f t="shared" si="7"/>
        <v>11</v>
      </c>
      <c r="N51" s="313">
        <f t="shared" si="7"/>
        <v>12</v>
      </c>
      <c r="O51" s="313">
        <f t="shared" si="7"/>
        <v>13</v>
      </c>
      <c r="P51" s="313">
        <f t="shared" si="7"/>
        <v>14</v>
      </c>
      <c r="Q51" s="313">
        <f t="shared" si="7"/>
        <v>15</v>
      </c>
      <c r="R51" s="313">
        <f t="shared" si="7"/>
        <v>16</v>
      </c>
      <c r="S51" s="313">
        <f t="shared" si="7"/>
        <v>17</v>
      </c>
      <c r="T51" s="313">
        <f t="shared" si="7"/>
        <v>18</v>
      </c>
      <c r="U51" s="313">
        <f t="shared" si="7"/>
        <v>19</v>
      </c>
      <c r="V51" s="313">
        <f t="shared" si="7"/>
        <v>20</v>
      </c>
      <c r="W51" s="313">
        <f t="shared" si="7"/>
        <v>21</v>
      </c>
      <c r="X51" s="313">
        <f t="shared" si="7"/>
        <v>22</v>
      </c>
      <c r="Y51" s="313">
        <f t="shared" si="7"/>
        <v>23</v>
      </c>
      <c r="Z51" s="313">
        <f t="shared" si="7"/>
        <v>24</v>
      </c>
      <c r="AA51" s="313">
        <f t="shared" si="7"/>
        <v>25</v>
      </c>
      <c r="AB51" s="313">
        <f t="shared" si="7"/>
        <v>26</v>
      </c>
      <c r="AC51" s="313">
        <f t="shared" si="7"/>
        <v>27</v>
      </c>
      <c r="AD51" s="313">
        <f t="shared" si="7"/>
        <v>28</v>
      </c>
      <c r="AE51" s="313">
        <f t="shared" si="7"/>
        <v>29</v>
      </c>
      <c r="AF51" s="313">
        <f t="shared" si="7"/>
        <v>30</v>
      </c>
      <c r="AG51" s="313">
        <f t="shared" si="7"/>
        <v>31</v>
      </c>
    </row>
    <row r="52" spans="2:33" hidden="1" outlineLevel="1" x14ac:dyDescent="0.25">
      <c r="B52" s="1" t="s">
        <v>272</v>
      </c>
      <c r="C52" s="336">
        <f>C11</f>
        <v>-4317111.8911279952</v>
      </c>
      <c r="D52" s="336">
        <f>IF(D51&lt;=(IN!$C$47+1),SUM($C$11:D11),0)</f>
        <v>-5089038.9939794717</v>
      </c>
      <c r="E52" s="336">
        <f>IF(E51&lt;=(IN!$C$47+1),SUM($C$11:E11),0)</f>
        <v>-4682663.0733967274</v>
      </c>
      <c r="F52" s="336">
        <f>IF(F51&lt;=(IN!$C$47+1),SUM($C$11:F11),0)</f>
        <v>-4275491.2646774575</v>
      </c>
      <c r="G52" s="336">
        <f>IF(G51&lt;=(IN!$C$47+1),SUM($C$11:G11),0)</f>
        <v>-3867515.4882758516</v>
      </c>
      <c r="H52" s="336">
        <f>IF(H51&lt;=(IN!$C$47+1),SUM($C$11:H11),0)</f>
        <v>-3458727.581437354</v>
      </c>
      <c r="I52" s="336">
        <f>IF(I51&lt;=(IN!$C$47+1),SUM($C$11:I11),0)</f>
        <v>-3049119.2973183081</v>
      </c>
      <c r="J52" s="336">
        <f>IF(J51&lt;=(IN!$C$47+1),SUM($C$11:J11),0)</f>
        <v>-2654205.8657396706</v>
      </c>
      <c r="K52" s="336">
        <f>IF(K51&lt;=(IN!$C$47+1),SUM($C$11:K11),0)</f>
        <v>-2248948.1840678258</v>
      </c>
      <c r="L52" s="336">
        <f>IF(L51&lt;=(IN!$C$47+1),SUM($C$11:L11),0)</f>
        <v>-1836828.4327429286</v>
      </c>
      <c r="M52" s="336">
        <f>IF(M51&lt;=(IN!$C$47+1),SUM($C$11:M11),0)</f>
        <v>-1423854.4579204123</v>
      </c>
      <c r="N52" s="336">
        <f>IF(N51&lt;=(IN!$C$47+1),SUM($C$11:N11),0)</f>
        <v>-1010017.5787597833</v>
      </c>
      <c r="O52" s="336">
        <f>IF(O51&lt;=(IN!$C$47+1),SUM($C$11:O11),0)</f>
        <v>-595309.02484003268</v>
      </c>
      <c r="P52" s="336">
        <f>IF(P51&lt;=(IN!$C$47+1),SUM($C$11:P11),0)</f>
        <v>-195243.4968522244</v>
      </c>
      <c r="Q52" s="336">
        <f>IF(Q51&lt;=(IN!$C$47+1),SUM($C$11:Q11),0)</f>
        <v>215218.64258155139</v>
      </c>
      <c r="R52" s="336">
        <f>IF(R51&lt;=(IN!$C$47+1),SUM($C$11:R11),0)</f>
        <v>632595.75344244018</v>
      </c>
      <c r="S52" s="336">
        <f>IF(S51&lt;=(IN!$C$47+1),SUM($C$11:S11),0)</f>
        <v>1050880.5357366784</v>
      </c>
      <c r="T52" s="336">
        <f>IF(T51&lt;=(IN!$C$47+1),SUM($C$11:T11),0)</f>
        <v>1470082.2222709244</v>
      </c>
      <c r="U52" s="336">
        <f>IF(U51&lt;=(IN!$C$47+1),SUM($C$11:U11),0)</f>
        <v>1890210.1413017495</v>
      </c>
      <c r="V52" s="336">
        <f>IF(V51&lt;=(IN!$C$47+1),SUM($C$11:V11),0)</f>
        <v>2311273.7175525744</v>
      </c>
      <c r="W52" s="336">
        <f>IF(W51&lt;=(IN!$C$47+1),SUM($C$11:W11),0)</f>
        <v>2733595.9491880625</v>
      </c>
      <c r="X52" s="336">
        <f>IF(X51&lt;=(IN!$C$47+1),SUM($C$11:X11),0)</f>
        <v>3156890.3523841733</v>
      </c>
      <c r="Y52" s="336">
        <f>IF(Y51&lt;=(IN!$C$47+1),SUM($C$11:Y11),0)</f>
        <v>3581166.8211950529</v>
      </c>
      <c r="Z52" s="336">
        <f>IF(Z51&lt;=(IN!$C$47+1),SUM($C$11:Z11),0)</f>
        <v>3681628.3402783074</v>
      </c>
      <c r="AA52" s="336">
        <f>IF(AA51&lt;=(IN!$C$47+1),SUM($C$11:AA11),0)</f>
        <v>0</v>
      </c>
      <c r="AB52" s="336">
        <f>IF(AB51&lt;=(IN!$C$47+1),SUM($C$11:AB11),0)</f>
        <v>0</v>
      </c>
      <c r="AC52" s="336">
        <f>IF(AC51&lt;=(IN!$C$47+1),SUM($C$11:AC11),0)</f>
        <v>0</v>
      </c>
      <c r="AD52" s="336">
        <f>IF(AD51&lt;=(IN!$C$47+1),SUM($C$11:AD11),0)</f>
        <v>0</v>
      </c>
      <c r="AE52" s="336">
        <f>IF(AE51&lt;=(IN!$C$47+1),SUM($C$11:AE11),0)</f>
        <v>0</v>
      </c>
      <c r="AF52" s="336">
        <f>IF(AF51&lt;=(IN!$C$47+1),SUM($C$11:AF11),0)</f>
        <v>0</v>
      </c>
      <c r="AG52" s="336">
        <f>IF(AG51&lt;=(IN!$C$47+1),SUM($C$11:AG11),0)</f>
        <v>0</v>
      </c>
    </row>
    <row r="53" spans="2:33" hidden="1" outlineLevel="1" x14ac:dyDescent="0.25">
      <c r="B53" s="1" t="s">
        <v>273</v>
      </c>
      <c r="C53" s="314">
        <f>IF(AND(C51&lt;=IN!$C$47,'RF VAL_INV opz2'!C52&lt;=0),1,0)</f>
        <v>1</v>
      </c>
      <c r="D53" s="314">
        <f>IF(AND(D51&lt;=IN!$C$47,'RF VAL_INV opz2'!D52&lt;=0),1,0)</f>
        <v>1</v>
      </c>
      <c r="E53" s="314">
        <f>IF(AND(E51&lt;=IN!$C$47,'RF VAL_INV opz2'!E52&lt;=0),1,0)</f>
        <v>1</v>
      </c>
      <c r="F53" s="314">
        <f>IF(AND(F51&lt;=IN!$C$47,'RF VAL_INV opz2'!F52&lt;=0),1,0)</f>
        <v>1</v>
      </c>
      <c r="G53" s="314">
        <f>IF(AND(G51&lt;=IN!$C$47,'RF VAL_INV opz2'!G52&lt;=0),1,0)</f>
        <v>1</v>
      </c>
      <c r="H53" s="314">
        <f>IF(AND(H51&lt;=IN!$C$47,'RF VAL_INV opz2'!H52&lt;=0),1,0)</f>
        <v>1</v>
      </c>
      <c r="I53" s="314">
        <f>IF(AND(I51&lt;=IN!$C$47,'RF VAL_INV opz2'!I52&lt;=0),1,0)</f>
        <v>1</v>
      </c>
      <c r="J53" s="314">
        <f>IF(AND(J51&lt;=IN!$C$47,'RF VAL_INV opz2'!J52&lt;=0),1,0)</f>
        <v>1</v>
      </c>
      <c r="K53" s="314">
        <f>IF(AND(K51&lt;=IN!$C$47,'RF VAL_INV opz2'!K52&lt;=0),1,0)</f>
        <v>1</v>
      </c>
      <c r="L53" s="314">
        <f>IF(AND(L51&lt;=IN!$C$47,'RF VAL_INV opz2'!L52&lt;=0),1,0)</f>
        <v>1</v>
      </c>
      <c r="M53" s="314">
        <f>IF(AND(M51&lt;=IN!$C$47,'RF VAL_INV opz2'!M52&lt;=0),1,0)</f>
        <v>1</v>
      </c>
      <c r="N53" s="314">
        <f>IF(AND(N51&lt;=IN!$C$47,'RF VAL_INV opz2'!N52&lt;=0),1,0)</f>
        <v>1</v>
      </c>
      <c r="O53" s="314">
        <f>IF(AND(O51&lt;=IN!$C$47,'RF VAL_INV opz2'!O52&lt;=0),1,0)</f>
        <v>1</v>
      </c>
      <c r="P53" s="314">
        <f>IF(AND(P51&lt;=IN!$C$47,'RF VAL_INV opz2'!P52&lt;=0),1,0)</f>
        <v>1</v>
      </c>
      <c r="Q53" s="314">
        <f>IF(AND(Q51&lt;=IN!$C$47,'RF VAL_INV opz2'!Q52&lt;=0),1,0)</f>
        <v>0</v>
      </c>
      <c r="R53" s="314">
        <f>IF(AND(R51&lt;=IN!$C$47,'RF VAL_INV opz2'!R52&lt;=0),1,0)</f>
        <v>0</v>
      </c>
      <c r="S53" s="314">
        <f>IF(AND(S51&lt;=IN!$C$47,'RF VAL_INV opz2'!S52&lt;=0),1,0)</f>
        <v>0</v>
      </c>
      <c r="T53" s="314">
        <f>IF(AND(T51&lt;=IN!$C$47,'RF VAL_INV opz2'!T52&lt;=0),1,0)</f>
        <v>0</v>
      </c>
      <c r="U53" s="314">
        <f>IF(AND(U51&lt;=IN!$C$47,'RF VAL_INV opz2'!U52&lt;=0),1,0)</f>
        <v>0</v>
      </c>
      <c r="V53" s="314">
        <f>IF(AND(V51&lt;=IN!$C$47,'RF VAL_INV opz2'!V52&lt;=0),1,0)</f>
        <v>0</v>
      </c>
      <c r="W53" s="314">
        <f>IF(AND(W51&lt;=IN!$C$47,'RF VAL_INV opz2'!W52&lt;=0),1,0)</f>
        <v>0</v>
      </c>
      <c r="X53" s="314">
        <f>IF(AND(X51&lt;=IN!$C$47,'RF VAL_INV opz2'!X52&lt;=0),1,0)</f>
        <v>0</v>
      </c>
      <c r="Y53" s="314">
        <f>IF(AND(Y51&lt;=IN!$C$47,'RF VAL_INV opz2'!Y52&lt;=0),1,0)</f>
        <v>0</v>
      </c>
      <c r="Z53" s="314">
        <f>IF(AND(Z51&lt;=IN!$C$47,'RF VAL_INV opz2'!Z52&lt;=0),1,0)</f>
        <v>0</v>
      </c>
      <c r="AA53" s="314">
        <f>IF(AND(AA51&lt;=IN!$C$47,'RF VAL_INV opz2'!AA52&lt;=0),1,0)</f>
        <v>0</v>
      </c>
      <c r="AB53" s="314">
        <f>IF(AND(AB51&lt;=IN!$C$47,'RF VAL_INV opz2'!AB52&lt;=0),1,0)</f>
        <v>0</v>
      </c>
      <c r="AC53" s="314">
        <f>IF(AND(AC51&lt;=IN!$C$47,'RF VAL_INV opz2'!AC52&lt;=0),1,0)</f>
        <v>0</v>
      </c>
      <c r="AD53" s="314">
        <f>IF(AND(AD51&lt;=IN!$C$47,'RF VAL_INV opz2'!AD52&lt;=0),1,0)</f>
        <v>0</v>
      </c>
      <c r="AE53" s="314">
        <f>IF(AND(AE51&lt;=IN!$C$47,'RF VAL_INV opz2'!AE52&lt;=0),1,0)</f>
        <v>0</v>
      </c>
      <c r="AF53" s="314">
        <f>IF(AND(AF51&lt;=IN!$C$47,'RF VAL_INV opz2'!AF52&lt;=0),1,0)</f>
        <v>0</v>
      </c>
      <c r="AG53" s="314">
        <f>IF(AND(AG51&lt;=IN!$C$47,'RF VAL_INV opz2'!AG52&lt;=0),1,0)</f>
        <v>0</v>
      </c>
    </row>
    <row r="54" spans="2:33" collapsed="1" x14ac:dyDescent="0.25">
      <c r="B54" s="221"/>
      <c r="C54" s="221"/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21"/>
      <c r="Z54" s="221"/>
      <c r="AA54" s="221"/>
      <c r="AB54" s="221"/>
      <c r="AC54" s="221"/>
      <c r="AD54" s="221"/>
      <c r="AE54" s="222"/>
      <c r="AF54" s="222"/>
      <c r="AG54" s="222"/>
    </row>
    <row r="55" spans="2:33" ht="23.25" x14ac:dyDescent="0.35">
      <c r="B55" s="175" t="s">
        <v>274</v>
      </c>
      <c r="C55" s="126"/>
      <c r="D55" s="127"/>
      <c r="E55" s="127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99"/>
    </row>
    <row r="56" spans="2:33" x14ac:dyDescent="0.25">
      <c r="B56" s="130"/>
      <c r="C56" s="278"/>
      <c r="D56" s="219"/>
      <c r="E56" s="217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99"/>
      <c r="AD56" s="99"/>
      <c r="AE56" s="99"/>
      <c r="AF56" s="99"/>
      <c r="AG56" s="99"/>
    </row>
    <row r="57" spans="2:33" x14ac:dyDescent="0.25">
      <c r="B57" s="131" t="s">
        <v>23</v>
      </c>
      <c r="C57" s="220">
        <f>IF(IN!P52&lt;&gt;0,C71,"")</f>
        <v>2.5160770172508267</v>
      </c>
      <c r="D57" s="221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21"/>
      <c r="Z57" s="221"/>
      <c r="AA57" s="221"/>
      <c r="AB57" s="221"/>
      <c r="AC57" s="221"/>
      <c r="AD57" s="221"/>
      <c r="AE57" s="222"/>
      <c r="AF57" s="222"/>
      <c r="AG57" s="222"/>
    </row>
    <row r="58" spans="2:33" x14ac:dyDescent="0.25">
      <c r="B58" s="131" t="s">
        <v>25</v>
      </c>
      <c r="C58" s="220">
        <f>IF(IN!P52&lt;&gt;0,C72,"")</f>
        <v>1.9651557515708908</v>
      </c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</row>
    <row r="59" spans="2:33" x14ac:dyDescent="0.25">
      <c r="B59" s="132"/>
      <c r="C59" s="132"/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2"/>
      <c r="T59" s="132"/>
      <c r="U59" s="132"/>
      <c r="V59" s="132"/>
      <c r="W59" s="132"/>
      <c r="X59" s="132"/>
      <c r="Y59" s="132"/>
      <c r="Z59" s="132"/>
      <c r="AA59" s="132"/>
      <c r="AB59" s="132"/>
      <c r="AC59" s="132"/>
      <c r="AD59" s="132"/>
      <c r="AE59" s="132"/>
      <c r="AF59" s="132"/>
      <c r="AG59" s="132"/>
    </row>
    <row r="60" spans="2:33" x14ac:dyDescent="0.25">
      <c r="B60" s="132"/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  <c r="AE60" s="132"/>
      <c r="AF60" s="132"/>
      <c r="AG60" s="132"/>
    </row>
    <row r="61" spans="2:33" outlineLevel="1" x14ac:dyDescent="0.25">
      <c r="B61" s="1" t="s">
        <v>275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2:33" outlineLevel="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2:33" outlineLevel="1" x14ac:dyDescent="0.25">
      <c r="B63" s="223" t="s">
        <v>143</v>
      </c>
      <c r="C63" s="224" t="str">
        <f t="shared" ref="C63:AG63" si="8">C4</f>
        <v>anno 1</v>
      </c>
      <c r="D63" s="224" t="str">
        <f t="shared" si="8"/>
        <v>anno 2</v>
      </c>
      <c r="E63" s="224" t="str">
        <f t="shared" si="8"/>
        <v>anno 3</v>
      </c>
      <c r="F63" s="224" t="str">
        <f t="shared" si="8"/>
        <v>anno 4</v>
      </c>
      <c r="G63" s="224" t="str">
        <f t="shared" si="8"/>
        <v>anno 5</v>
      </c>
      <c r="H63" s="224" t="str">
        <f t="shared" si="8"/>
        <v>anno 6</v>
      </c>
      <c r="I63" s="224" t="str">
        <f t="shared" si="8"/>
        <v>anno 7</v>
      </c>
      <c r="J63" s="224" t="str">
        <f t="shared" si="8"/>
        <v>anno 8</v>
      </c>
      <c r="K63" s="224" t="str">
        <f t="shared" si="8"/>
        <v>anno 9</v>
      </c>
      <c r="L63" s="224" t="str">
        <f t="shared" si="8"/>
        <v>anno 10</v>
      </c>
      <c r="M63" s="224" t="str">
        <f t="shared" si="8"/>
        <v>anno 11</v>
      </c>
      <c r="N63" s="224" t="str">
        <f t="shared" si="8"/>
        <v>anno 12</v>
      </c>
      <c r="O63" s="224" t="str">
        <f t="shared" si="8"/>
        <v>anno 13</v>
      </c>
      <c r="P63" s="224" t="str">
        <f t="shared" si="8"/>
        <v>anno 14</v>
      </c>
      <c r="Q63" s="224" t="str">
        <f t="shared" si="8"/>
        <v>anno 15</v>
      </c>
      <c r="R63" s="224" t="str">
        <f t="shared" si="8"/>
        <v>anno 16</v>
      </c>
      <c r="S63" s="224" t="str">
        <f t="shared" si="8"/>
        <v>anno 17</v>
      </c>
      <c r="T63" s="224" t="str">
        <f t="shared" si="8"/>
        <v>anno 18</v>
      </c>
      <c r="U63" s="224" t="str">
        <f t="shared" si="8"/>
        <v>anno 19</v>
      </c>
      <c r="V63" s="224" t="str">
        <f t="shared" si="8"/>
        <v>anno 20</v>
      </c>
      <c r="W63" s="224" t="str">
        <f t="shared" si="8"/>
        <v>anno 21</v>
      </c>
      <c r="X63" s="224" t="str">
        <f t="shared" si="8"/>
        <v>anno 22</v>
      </c>
      <c r="Y63" s="224" t="str">
        <f t="shared" si="8"/>
        <v>anno 23</v>
      </c>
      <c r="Z63" s="224" t="str">
        <f t="shared" si="8"/>
        <v>anno 24</v>
      </c>
      <c r="AA63" s="224" t="e">
        <f t="shared" si="8"/>
        <v>#VALUE!</v>
      </c>
      <c r="AB63" s="224" t="e">
        <f t="shared" si="8"/>
        <v>#VALUE!</v>
      </c>
      <c r="AC63" s="224" t="e">
        <f t="shared" si="8"/>
        <v>#VALUE!</v>
      </c>
      <c r="AD63" s="224" t="e">
        <f t="shared" si="8"/>
        <v>#VALUE!</v>
      </c>
      <c r="AE63" s="224" t="e">
        <f t="shared" si="8"/>
        <v>#VALUE!</v>
      </c>
      <c r="AF63" s="224" t="e">
        <f t="shared" si="8"/>
        <v>#VALUE!</v>
      </c>
      <c r="AG63" s="224" t="e">
        <f t="shared" si="8"/>
        <v>#VALUE!</v>
      </c>
    </row>
    <row r="64" spans="2:33" outlineLevel="1" x14ac:dyDescent="0.25">
      <c r="B64" s="223" t="s">
        <v>143</v>
      </c>
      <c r="C64" s="224">
        <v>1</v>
      </c>
      <c r="D64" s="225">
        <f>C64+1</f>
        <v>2</v>
      </c>
      <c r="E64" s="225">
        <f t="shared" ref="E64:AG64" si="9">D64+1</f>
        <v>3</v>
      </c>
      <c r="F64" s="225">
        <f t="shared" si="9"/>
        <v>4</v>
      </c>
      <c r="G64" s="225">
        <f t="shared" si="9"/>
        <v>5</v>
      </c>
      <c r="H64" s="225">
        <f t="shared" si="9"/>
        <v>6</v>
      </c>
      <c r="I64" s="225">
        <f t="shared" si="9"/>
        <v>7</v>
      </c>
      <c r="J64" s="225">
        <f t="shared" si="9"/>
        <v>8</v>
      </c>
      <c r="K64" s="225">
        <f t="shared" si="9"/>
        <v>9</v>
      </c>
      <c r="L64" s="225">
        <f t="shared" si="9"/>
        <v>10</v>
      </c>
      <c r="M64" s="225">
        <f t="shared" si="9"/>
        <v>11</v>
      </c>
      <c r="N64" s="225">
        <f t="shared" si="9"/>
        <v>12</v>
      </c>
      <c r="O64" s="225">
        <f t="shared" si="9"/>
        <v>13</v>
      </c>
      <c r="P64" s="225">
        <f t="shared" si="9"/>
        <v>14</v>
      </c>
      <c r="Q64" s="225">
        <f t="shared" si="9"/>
        <v>15</v>
      </c>
      <c r="R64" s="225">
        <f t="shared" si="9"/>
        <v>16</v>
      </c>
      <c r="S64" s="225">
        <f t="shared" si="9"/>
        <v>17</v>
      </c>
      <c r="T64" s="225">
        <f t="shared" si="9"/>
        <v>18</v>
      </c>
      <c r="U64" s="225">
        <f t="shared" si="9"/>
        <v>19</v>
      </c>
      <c r="V64" s="225">
        <f t="shared" si="9"/>
        <v>20</v>
      </c>
      <c r="W64" s="225">
        <f t="shared" si="9"/>
        <v>21</v>
      </c>
      <c r="X64" s="225">
        <f t="shared" si="9"/>
        <v>22</v>
      </c>
      <c r="Y64" s="225">
        <f t="shared" si="9"/>
        <v>23</v>
      </c>
      <c r="Z64" s="225">
        <f t="shared" si="9"/>
        <v>24</v>
      </c>
      <c r="AA64" s="225">
        <f t="shared" si="9"/>
        <v>25</v>
      </c>
      <c r="AB64" s="225">
        <f t="shared" si="9"/>
        <v>26</v>
      </c>
      <c r="AC64" s="225">
        <f t="shared" si="9"/>
        <v>27</v>
      </c>
      <c r="AD64" s="225">
        <f t="shared" si="9"/>
        <v>28</v>
      </c>
      <c r="AE64" s="225">
        <f t="shared" si="9"/>
        <v>29</v>
      </c>
      <c r="AF64" s="225">
        <f t="shared" si="9"/>
        <v>30</v>
      </c>
      <c r="AG64" s="225">
        <f t="shared" si="9"/>
        <v>31</v>
      </c>
    </row>
    <row r="65" spans="2:33" outlineLevel="1" x14ac:dyDescent="0.25">
      <c r="B65" s="22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2:33" outlineLevel="1" x14ac:dyDescent="0.25">
      <c r="B66" s="1" t="s">
        <v>276</v>
      </c>
      <c r="C66" s="112">
        <f>C11-C9</f>
        <v>1090641.3300973019</v>
      </c>
      <c r="D66" s="112">
        <f>D11-D9</f>
        <v>-771927.10285147687</v>
      </c>
      <c r="E66" s="112">
        <f>E11-E9</f>
        <v>406375.920582744</v>
      </c>
      <c r="F66" s="112">
        <f>F11-F9</f>
        <v>407171.80871927034</v>
      </c>
      <c r="G66" s="112">
        <f>G11-G9</f>
        <v>407975.77640160575</v>
      </c>
      <c r="H66" s="112">
        <f t="shared" ref="H66:AF66" si="10">H11-H9</f>
        <v>408787.90683849755</v>
      </c>
      <c r="I66" s="112">
        <f t="shared" si="10"/>
        <v>409608.28411904589</v>
      </c>
      <c r="J66" s="112">
        <f t="shared" si="10"/>
        <v>394913.43157863757</v>
      </c>
      <c r="K66" s="112">
        <f t="shared" si="10"/>
        <v>405257.68167184497</v>
      </c>
      <c r="L66" s="112">
        <f t="shared" si="10"/>
        <v>412119.75132489728</v>
      </c>
      <c r="M66" s="112">
        <f t="shared" si="10"/>
        <v>412973.97482251626</v>
      </c>
      <c r="N66" s="112">
        <f t="shared" si="10"/>
        <v>413836.879160629</v>
      </c>
      <c r="O66" s="112">
        <f t="shared" si="10"/>
        <v>414708.55391975067</v>
      </c>
      <c r="P66" s="112">
        <f t="shared" si="10"/>
        <v>400065.52798780828</v>
      </c>
      <c r="Q66" s="112">
        <f t="shared" si="10"/>
        <v>410462.1394337758</v>
      </c>
      <c r="R66" s="112">
        <f t="shared" si="10"/>
        <v>417377.11086088885</v>
      </c>
      <c r="S66" s="112">
        <f t="shared" si="10"/>
        <v>418284.78229423822</v>
      </c>
      <c r="T66" s="112">
        <f t="shared" si="10"/>
        <v>419201.68653424602</v>
      </c>
      <c r="U66" s="112">
        <f t="shared" si="10"/>
        <v>420127.91903082514</v>
      </c>
      <c r="V66" s="112">
        <f t="shared" si="10"/>
        <v>421063.57625082496</v>
      </c>
      <c r="W66" s="112">
        <f>W11-W9</f>
        <v>422322.23163548822</v>
      </c>
      <c r="X66" s="112">
        <f t="shared" si="10"/>
        <v>423294.40319611109</v>
      </c>
      <c r="Y66" s="112">
        <f t="shared" si="10"/>
        <v>424276.46881087939</v>
      </c>
      <c r="Z66" s="112">
        <f t="shared" si="10"/>
        <v>100461.51908325459</v>
      </c>
      <c r="AA66" s="112">
        <f t="shared" si="10"/>
        <v>0</v>
      </c>
      <c r="AB66" s="112">
        <f t="shared" si="10"/>
        <v>0</v>
      </c>
      <c r="AC66" s="112">
        <f t="shared" si="10"/>
        <v>0</v>
      </c>
      <c r="AD66" s="112">
        <f t="shared" si="10"/>
        <v>0</v>
      </c>
      <c r="AE66" s="112">
        <f t="shared" si="10"/>
        <v>0</v>
      </c>
      <c r="AF66" s="112">
        <f t="shared" si="10"/>
        <v>0</v>
      </c>
      <c r="AG66" s="112">
        <f>AG11-AG9</f>
        <v>0</v>
      </c>
    </row>
    <row r="67" spans="2:33" outlineLevel="1" x14ac:dyDescent="0.25">
      <c r="B67" s="1" t="s">
        <v>277</v>
      </c>
      <c r="C67" s="226">
        <f>IN!O57</f>
        <v>155330.14604101612</v>
      </c>
      <c r="D67" s="112">
        <f>IN!O58</f>
        <v>155330.14604101612</v>
      </c>
      <c r="E67" s="112">
        <f>IN!O59</f>
        <v>155330.14604101612</v>
      </c>
      <c r="F67" s="112">
        <f>IN!O60</f>
        <v>155330.14604101612</v>
      </c>
      <c r="G67" s="112">
        <f>IN!O61</f>
        <v>155330.14604101612</v>
      </c>
      <c r="H67" s="112">
        <f>IN!O62</f>
        <v>155330.14604101612</v>
      </c>
      <c r="I67" s="112">
        <f>IN!O63</f>
        <v>155330.14604101612</v>
      </c>
      <c r="J67" s="112">
        <f>IN!O64</f>
        <v>155330.14604101612</v>
      </c>
      <c r="K67" s="112">
        <f>IN!O65</f>
        <v>155330.14604101612</v>
      </c>
      <c r="L67" s="112">
        <f>IN!O66</f>
        <v>155330.14604101612</v>
      </c>
      <c r="M67" s="112">
        <f>IN!O67</f>
        <v>155330.14604101612</v>
      </c>
      <c r="N67" s="112">
        <f>IN!O68</f>
        <v>155330.14604101612</v>
      </c>
      <c r="O67" s="112">
        <f>IN!O69</f>
        <v>155330.14604101612</v>
      </c>
      <c r="P67" s="112">
        <f>IN!O70</f>
        <v>155330.14604101612</v>
      </c>
      <c r="Q67" s="112">
        <f>IN!O71</f>
        <v>155330.14604101612</v>
      </c>
      <c r="R67" s="112">
        <f>IN!O72</f>
        <v>155330.14604101612</v>
      </c>
      <c r="S67" s="112">
        <f>IN!O73</f>
        <v>155330.14604101612</v>
      </c>
      <c r="T67" s="112">
        <f>IN!O74</f>
        <v>155330.14604101612</v>
      </c>
      <c r="U67" s="112">
        <f>IN!O75</f>
        <v>155330.14604101612</v>
      </c>
      <c r="V67" s="112">
        <f>IN!O76</f>
        <v>155330.14604101612</v>
      </c>
      <c r="W67" s="112">
        <f>IN!O77</f>
        <v>155330.14604101612</v>
      </c>
      <c r="X67" s="112">
        <f>IN!O78</f>
        <v>155330.14604101612</v>
      </c>
      <c r="Y67" s="112">
        <f>IN!O79</f>
        <v>155330.14604101612</v>
      </c>
      <c r="Z67" s="112">
        <f>IN!O80</f>
        <v>0</v>
      </c>
      <c r="AA67" s="112">
        <f>IN!O81</f>
        <v>0</v>
      </c>
      <c r="AB67" s="112">
        <f>IN!O82</f>
        <v>0</v>
      </c>
      <c r="AC67" s="112">
        <f>IN!O83</f>
        <v>0</v>
      </c>
      <c r="AD67" s="112">
        <f>IN!O84</f>
        <v>0</v>
      </c>
      <c r="AE67" s="112">
        <f>IN!O85</f>
        <v>0</v>
      </c>
      <c r="AF67" s="112">
        <f>IN!O86</f>
        <v>0</v>
      </c>
      <c r="AG67" s="112"/>
    </row>
    <row r="68" spans="2:33" outlineLevel="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2:33" outlineLevel="1" x14ac:dyDescent="0.25">
      <c r="B69" s="1" t="s">
        <v>278</v>
      </c>
      <c r="C69" s="227">
        <f>IF(C64&lt;=IN!$C$48,C66/C67,0)</f>
        <v>7.0214401897833119</v>
      </c>
      <c r="D69" s="227">
        <f>IF(D64&lt;=IN!$C$48,D66/D67,0)</f>
        <v>-4.9695897578544965</v>
      </c>
      <c r="E69" s="227">
        <f>IF(E64&lt;=IN!$C$48,E66/E67,0)</f>
        <v>2.6162076772620639</v>
      </c>
      <c r="F69" s="227">
        <f>IF(F64&lt;=IN!$C$48,F66/F67,0)</f>
        <v>2.6213315257667591</v>
      </c>
      <c r="G69" s="227">
        <f>IF(G64&lt;=IN!$C$48,G66/G67,0)</f>
        <v>2.6265073895821653</v>
      </c>
      <c r="H69" s="227">
        <f>IF(H64&lt;=IN!$C$48,H66/H67,0)</f>
        <v>2.6317358043979047</v>
      </c>
      <c r="I69" s="227">
        <f>IF(I64&lt;=IN!$C$48,I66/I67,0)</f>
        <v>2.6370173115712237</v>
      </c>
      <c r="J69" s="227">
        <f>IF(J64&lt;=IN!$C$48,J66/J67,0)</f>
        <v>2.5424133154059976</v>
      </c>
      <c r="K69" s="227">
        <f>IF(K64&lt;=IN!$C$48,K66/K67,0)</f>
        <v>2.6090085665974558</v>
      </c>
      <c r="L69" s="227">
        <f>IF(L64&lt;=IN!$C$48,L66/L67,0)</f>
        <v>2.6531858871495162</v>
      </c>
      <c r="M69" s="227">
        <f>IF(M64&lt;=IN!$C$48,M66/M67,0)</f>
        <v>2.6586852928952203</v>
      </c>
      <c r="N69" s="227">
        <f>IF(N64&lt;=IN!$C$48,N66/N67,0)</f>
        <v>2.6642405850268895</v>
      </c>
      <c r="O69" s="227">
        <f>IF(O64&lt;=IN!$C$48,O66/O67,0)</f>
        <v>2.6698523402549541</v>
      </c>
      <c r="P69" s="227">
        <f>IF(P64&lt;=IN!$C$48,P66/P67,0)</f>
        <v>2.5755819986299882</v>
      </c>
      <c r="Q69" s="227">
        <f>IF(Q64&lt;=IN!$C$48,Q66/Q67,0)</f>
        <v>2.6425143469921806</v>
      </c>
      <c r="R69" s="227">
        <f>IF(R64&lt;=IN!$C$48,R66/R67,0)</f>
        <v>2.6870322438934502</v>
      </c>
      <c r="S69" s="227">
        <f>IF(S64&lt;=IN!$C$48,S66/S67,0)</f>
        <v>2.6928757421227614</v>
      </c>
      <c r="T69" s="227">
        <f>IF(T64&lt;=IN!$C$48,T66/T67,0)</f>
        <v>2.6987786802411979</v>
      </c>
      <c r="U69" s="227">
        <f>IF(U64&lt;=IN!$C$48,U66/U67,0)</f>
        <v>2.7047416727457856</v>
      </c>
      <c r="V69" s="227">
        <f>IF(V64&lt;=IN!$C$48,V66/V67,0)</f>
        <v>2.7107653406804877</v>
      </c>
      <c r="W69" s="227">
        <f>IF(W64&lt;=IN!$C$48,W66/W67,0)</f>
        <v>2.7188684386092752</v>
      </c>
      <c r="X69" s="227">
        <f>IF(X64&lt;=IN!$C$48,X66/X67,0)</f>
        <v>2.7251271822298868</v>
      </c>
      <c r="Y69" s="227">
        <f>IF(Y64&lt;=IN!$C$48,Y66/Y67,0)</f>
        <v>2.7314496227850449</v>
      </c>
      <c r="Z69" s="227">
        <f>IF(Z64&lt;=IN!$C$48,Z66/Z67,0)</f>
        <v>0</v>
      </c>
      <c r="AA69" s="227">
        <f>IF(AA64&lt;=IN!$C$48,AA66/AA67,0)</f>
        <v>0</v>
      </c>
      <c r="AB69" s="227">
        <f>IF(AB64&lt;=IN!$C$48,AB66/AB67,0)</f>
        <v>0</v>
      </c>
      <c r="AC69" s="227">
        <f>IF(AC64&lt;=IN!$C$48,AC66/AC67,0)</f>
        <v>0</v>
      </c>
      <c r="AD69" s="227">
        <f>IF(AD64&lt;=IN!$C$48,AD66/AD67,0)</f>
        <v>0</v>
      </c>
      <c r="AE69" s="227">
        <f>IF(AE64&lt;=IN!$C$48,AE66/AE67,0)</f>
        <v>0</v>
      </c>
      <c r="AF69" s="227">
        <f>IF(AF64&lt;=IN!$C$48,AF66/AF67,0)</f>
        <v>0</v>
      </c>
      <c r="AG69" s="227"/>
    </row>
    <row r="70" spans="2:33" outlineLevel="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2:33" outlineLevel="1" x14ac:dyDescent="0.25">
      <c r="B71" s="223" t="s">
        <v>23</v>
      </c>
      <c r="C71" s="227">
        <f>SUM($C$69:$AF$69)/IN!$C$48</f>
        <v>2.5160770172508267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2:33" outlineLevel="1" x14ac:dyDescent="0.25">
      <c r="B72" s="223" t="s">
        <v>25</v>
      </c>
      <c r="C72" s="227">
        <f>NPV(IN!$C$44,$C$66:$Y$66)/(IN!$Q$52)</f>
        <v>1.9651557515708908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2:33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2:33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2:33" x14ac:dyDescent="0.25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</row>
    <row r="76" spans="2:33" x14ac:dyDescent="0.25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</row>
    <row r="77" spans="2:33" x14ac:dyDescent="0.25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</row>
    <row r="78" spans="2:33" x14ac:dyDescent="0.25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</row>
    <row r="79" spans="2:33" x14ac:dyDescent="0.25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</row>
    <row r="80" spans="2:33" x14ac:dyDescent="0.25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</row>
    <row r="81" spans="2:33" x14ac:dyDescent="0.25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</row>
    <row r="85" spans="2:33" x14ac:dyDescent="0.25">
      <c r="C85" s="648"/>
      <c r="D85" s="648"/>
      <c r="E85" s="648"/>
      <c r="F85" s="648"/>
      <c r="G85" s="648"/>
      <c r="H85" s="648"/>
      <c r="I85" s="648"/>
      <c r="J85" s="648"/>
      <c r="K85" s="648"/>
      <c r="L85" s="648"/>
      <c r="M85" s="648"/>
      <c r="N85" s="648"/>
      <c r="O85" s="648"/>
      <c r="P85" s="648"/>
      <c r="Q85" s="648"/>
      <c r="R85" s="648"/>
      <c r="S85" s="648"/>
      <c r="T85" s="648"/>
      <c r="U85" s="648"/>
      <c r="V85" s="648"/>
      <c r="W85" s="648"/>
      <c r="X85" s="648"/>
      <c r="Y85" s="648"/>
      <c r="Z85" s="648"/>
    </row>
    <row r="86" spans="2:33" x14ac:dyDescent="0.25">
      <c r="C86" s="648"/>
      <c r="D86" s="648"/>
      <c r="E86" s="648"/>
      <c r="F86" s="648"/>
      <c r="G86" s="648"/>
      <c r="H86" s="648"/>
      <c r="I86" s="648"/>
      <c r="J86" s="648"/>
      <c r="K86" s="648"/>
      <c r="L86" s="648"/>
      <c r="M86" s="648"/>
      <c r="N86" s="648"/>
      <c r="O86" s="648"/>
      <c r="P86" s="648"/>
      <c r="Q86" s="648"/>
      <c r="R86" s="648"/>
      <c r="S86" s="648"/>
      <c r="T86" s="648"/>
      <c r="U86" s="648"/>
      <c r="V86" s="648"/>
      <c r="W86" s="648"/>
      <c r="X86" s="648"/>
      <c r="Y86" s="648"/>
      <c r="Z86" s="648"/>
    </row>
    <row r="87" spans="2:33" x14ac:dyDescent="0.25">
      <c r="C87" s="648"/>
      <c r="D87" s="648"/>
      <c r="E87" s="648"/>
      <c r="F87" s="648"/>
      <c r="G87" s="648"/>
      <c r="H87" s="648"/>
      <c r="I87" s="648"/>
      <c r="J87" s="648"/>
      <c r="K87" s="648"/>
      <c r="L87" s="648"/>
      <c r="M87" s="648"/>
      <c r="N87" s="648"/>
      <c r="O87" s="648"/>
      <c r="P87" s="648"/>
      <c r="Q87" s="648"/>
      <c r="R87" s="648"/>
      <c r="S87" s="648"/>
      <c r="T87" s="648"/>
      <c r="U87" s="648"/>
      <c r="V87" s="648"/>
      <c r="W87" s="648"/>
      <c r="X87" s="648"/>
      <c r="Y87" s="648"/>
      <c r="Z87" s="648"/>
    </row>
    <row r="88" spans="2:33" x14ac:dyDescent="0.25">
      <c r="C88" s="648"/>
      <c r="D88" s="648"/>
      <c r="E88" s="648"/>
      <c r="F88" s="648"/>
      <c r="G88" s="648"/>
      <c r="H88" s="648"/>
      <c r="I88" s="648"/>
      <c r="J88" s="648"/>
      <c r="K88" s="648"/>
      <c r="L88" s="648"/>
      <c r="M88" s="648"/>
      <c r="N88" s="648"/>
      <c r="O88" s="648"/>
      <c r="P88" s="648"/>
      <c r="Q88" s="648"/>
      <c r="R88" s="648"/>
      <c r="S88" s="648"/>
      <c r="T88" s="648"/>
      <c r="U88" s="648"/>
      <c r="V88" s="648"/>
      <c r="W88" s="648"/>
      <c r="X88" s="648"/>
      <c r="Y88" s="648"/>
      <c r="Z88" s="648"/>
    </row>
    <row r="89" spans="2:33" x14ac:dyDescent="0.25">
      <c r="C89" s="648"/>
      <c r="D89" s="648"/>
      <c r="E89" s="648"/>
      <c r="F89" s="648"/>
      <c r="G89" s="648"/>
      <c r="H89" s="648"/>
      <c r="I89" s="648"/>
      <c r="J89" s="648"/>
      <c r="K89" s="648"/>
      <c r="L89" s="648"/>
      <c r="M89" s="648"/>
      <c r="N89" s="648"/>
      <c r="O89" s="648"/>
      <c r="P89" s="648"/>
      <c r="Q89" s="648"/>
      <c r="R89" s="648"/>
      <c r="S89" s="648"/>
      <c r="T89" s="648"/>
      <c r="U89" s="648"/>
      <c r="V89" s="648"/>
      <c r="W89" s="648"/>
      <c r="X89" s="648"/>
      <c r="Y89" s="648"/>
      <c r="Z89" s="648"/>
    </row>
    <row r="90" spans="2:33" x14ac:dyDescent="0.25">
      <c r="C90" s="648"/>
      <c r="D90" s="648"/>
      <c r="E90" s="648"/>
      <c r="F90" s="648"/>
      <c r="G90" s="648"/>
      <c r="H90" s="648"/>
      <c r="I90" s="648"/>
      <c r="J90" s="648"/>
      <c r="K90" s="648"/>
      <c r="L90" s="648"/>
      <c r="M90" s="648"/>
      <c r="N90" s="648"/>
      <c r="O90" s="648"/>
      <c r="P90" s="648"/>
      <c r="Q90" s="648"/>
      <c r="R90" s="648"/>
      <c r="S90" s="648"/>
      <c r="T90" s="648"/>
      <c r="U90" s="648"/>
      <c r="V90" s="648"/>
      <c r="W90" s="648"/>
      <c r="X90" s="648"/>
      <c r="Y90" s="648"/>
      <c r="Z90" s="648"/>
    </row>
    <row r="91" spans="2:33" x14ac:dyDescent="0.25">
      <c r="C91" s="648"/>
      <c r="D91" s="648"/>
      <c r="E91" s="648"/>
      <c r="F91" s="648"/>
      <c r="G91" s="648"/>
      <c r="H91" s="648"/>
      <c r="I91" s="648"/>
      <c r="J91" s="648"/>
      <c r="K91" s="648"/>
      <c r="L91" s="648"/>
      <c r="M91" s="648"/>
      <c r="N91" s="648"/>
      <c r="O91" s="648"/>
      <c r="P91" s="648"/>
      <c r="Q91" s="648"/>
      <c r="R91" s="648"/>
      <c r="S91" s="648"/>
      <c r="T91" s="648"/>
      <c r="U91" s="648"/>
      <c r="V91" s="648"/>
      <c r="W91" s="648"/>
      <c r="X91" s="648"/>
      <c r="Y91" s="648"/>
      <c r="Z91" s="648"/>
    </row>
    <row r="92" spans="2:33" x14ac:dyDescent="0.25">
      <c r="C92" s="648"/>
      <c r="D92" s="648"/>
      <c r="E92" s="648"/>
      <c r="F92" s="648"/>
      <c r="G92" s="648"/>
      <c r="H92" s="648"/>
      <c r="I92" s="648"/>
      <c r="J92" s="648"/>
      <c r="K92" s="648"/>
      <c r="L92" s="648"/>
      <c r="M92" s="648"/>
      <c r="N92" s="648"/>
      <c r="O92" s="648"/>
      <c r="P92" s="648"/>
      <c r="Q92" s="648"/>
      <c r="R92" s="648"/>
      <c r="S92" s="648"/>
      <c r="T92" s="648"/>
      <c r="U92" s="648"/>
      <c r="V92" s="648"/>
      <c r="W92" s="648"/>
      <c r="X92" s="648"/>
      <c r="Y92" s="648"/>
      <c r="Z92" s="648"/>
    </row>
    <row r="93" spans="2:33" x14ac:dyDescent="0.25">
      <c r="C93" s="648"/>
      <c r="D93" s="648"/>
      <c r="E93" s="648"/>
      <c r="F93" s="648"/>
      <c r="G93" s="648"/>
      <c r="H93" s="648"/>
      <c r="I93" s="648"/>
      <c r="J93" s="648"/>
      <c r="K93" s="648"/>
      <c r="L93" s="648"/>
      <c r="M93" s="648"/>
      <c r="N93" s="648"/>
      <c r="O93" s="648"/>
      <c r="P93" s="648"/>
      <c r="Q93" s="648"/>
      <c r="R93" s="648"/>
      <c r="S93" s="648"/>
      <c r="T93" s="648"/>
      <c r="U93" s="648"/>
      <c r="V93" s="648"/>
      <c r="W93" s="648"/>
      <c r="X93" s="648"/>
      <c r="Y93" s="648"/>
      <c r="Z93" s="648"/>
    </row>
    <row r="94" spans="2:33" x14ac:dyDescent="0.25">
      <c r="C94" s="648"/>
    </row>
  </sheetData>
  <mergeCells count="2">
    <mergeCell ref="B4:B5"/>
    <mergeCell ref="B21:B22"/>
  </mergeCells>
  <phoneticPr fontId="78" type="noConversion"/>
  <conditionalFormatting sqref="AH25">
    <cfRule type="cellIs" dxfId="4" priority="5" operator="equal">
      <formula>0</formula>
    </cfRule>
  </conditionalFormatting>
  <pageMargins left="7.874015748031496E-2" right="7.874015748031496E-2" top="0.59055118110236227" bottom="0.59055118110236227" header="0" footer="7.874015748031496E-2"/>
  <pageSetup paperSize="9" scale="47" orientation="landscape" r:id="rId1"/>
  <headerFooter scaleWithDoc="0" alignWithMargins="0">
    <oddFooter>&amp;CRendiconto finanziario e valutazione investimento - Ipotesi 2&amp;RPag 8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greaterThan" id="{5CE4DC53-B228-47A4-9BA7-270D918E2997}">
            <xm:f>IN!$C$52+1</xm:f>
            <x14:dxf>
              <font>
                <color rgb="FF353599"/>
              </font>
            </x14:dxf>
          </x14:cfRule>
          <xm:sqref>AA4:AG4</xm:sqref>
        </x14:conditionalFormatting>
        <x14:conditionalFormatting xmlns:xm="http://schemas.microsoft.com/office/excel/2006/main">
          <x14:cfRule type="cellIs" priority="4" operator="greaterThan" id="{F9CF3145-B065-4461-A82D-4854244BF112}">
            <xm:f>IN!$C$47+1</xm:f>
            <x14:dxf>
              <font>
                <color rgb="FF353599"/>
              </font>
            </x14:dxf>
          </x14:cfRule>
          <xm:sqref>C5:AG5</xm:sqref>
        </x14:conditionalFormatting>
        <x14:conditionalFormatting xmlns:xm="http://schemas.microsoft.com/office/excel/2006/main">
          <x14:cfRule type="cellIs" priority="1" operator="greaterThan" id="{66C97EC7-86C2-42C3-8598-5219D99BB594}">
            <xm:f>IN!$C$52+1</xm:f>
            <x14:dxf>
              <font>
                <color rgb="FF353599"/>
              </font>
            </x14:dxf>
          </x14:cfRule>
          <xm:sqref>AA21:AG21</xm:sqref>
        </x14:conditionalFormatting>
        <x14:conditionalFormatting xmlns:xm="http://schemas.microsoft.com/office/excel/2006/main">
          <x14:cfRule type="cellIs" priority="2" operator="greaterThan" id="{538DF10C-763A-46EA-93A2-81702AD76BD5}">
            <xm:f>IN!$C$47+1</xm:f>
            <x14:dxf>
              <font>
                <color rgb="FF353599"/>
              </font>
            </x14:dxf>
          </x14:cfRule>
          <xm:sqref>C22:AG22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C6512-B1A8-4927-9B31-24BEED92F695}">
  <sheetPr codeName="Foglio14">
    <tabColor theme="4" tint="0.59999389629810485"/>
    <pageSetUpPr fitToPage="1"/>
  </sheetPr>
  <dimension ref="B1:AP26"/>
  <sheetViews>
    <sheetView zoomScaleNormal="100" workbookViewId="0">
      <selection activeCell="C6" sqref="C6:Y6"/>
    </sheetView>
  </sheetViews>
  <sheetFormatPr defaultRowHeight="15" outlineLevelRow="2" x14ac:dyDescent="0.25"/>
  <cols>
    <col min="1" max="1" width="2.7109375" customWidth="1"/>
    <col min="2" max="2" width="49" customWidth="1"/>
    <col min="3" max="4" width="11.7109375" customWidth="1"/>
    <col min="5" max="5" width="13.28515625" customWidth="1"/>
    <col min="6" max="6" width="14.140625" customWidth="1"/>
    <col min="7" max="7" width="13.140625" customWidth="1"/>
    <col min="8" max="32" width="11.7109375" customWidth="1"/>
    <col min="33" max="34" width="13.85546875" customWidth="1"/>
  </cols>
  <sheetData>
    <row r="1" spans="2:42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2:42" x14ac:dyDescent="0.25">
      <c r="B2" s="4"/>
      <c r="C2" s="388"/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</row>
    <row r="3" spans="2:42" x14ac:dyDescent="0.25">
      <c r="B3" s="354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2:42" ht="23.25" outlineLevel="1" x14ac:dyDescent="0.35">
      <c r="B4" s="175" t="s">
        <v>279</v>
      </c>
      <c r="C4" s="390"/>
      <c r="D4" s="328"/>
      <c r="E4" s="328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2:42" outlineLevel="1" x14ac:dyDescent="0.25">
      <c r="B5" s="334" t="s">
        <v>206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2:42" outlineLevel="1" x14ac:dyDescent="0.25">
      <c r="B6" s="805" t="s">
        <v>143</v>
      </c>
      <c r="C6" s="467" t="s">
        <v>329</v>
      </c>
      <c r="D6" s="467" t="s">
        <v>330</v>
      </c>
      <c r="E6" s="467" t="s">
        <v>331</v>
      </c>
      <c r="F6" s="467" t="s">
        <v>332</v>
      </c>
      <c r="G6" s="467" t="s">
        <v>333</v>
      </c>
      <c r="H6" s="467" t="s">
        <v>334</v>
      </c>
      <c r="I6" s="467" t="s">
        <v>335</v>
      </c>
      <c r="J6" s="467" t="s">
        <v>336</v>
      </c>
      <c r="K6" s="467" t="s">
        <v>337</v>
      </c>
      <c r="L6" s="467" t="s">
        <v>338</v>
      </c>
      <c r="M6" s="467" t="s">
        <v>339</v>
      </c>
      <c r="N6" s="467" t="s">
        <v>340</v>
      </c>
      <c r="O6" s="467" t="s">
        <v>341</v>
      </c>
      <c r="P6" s="467" t="s">
        <v>342</v>
      </c>
      <c r="Q6" s="467" t="s">
        <v>343</v>
      </c>
      <c r="R6" s="467" t="s">
        <v>344</v>
      </c>
      <c r="S6" s="467" t="s">
        <v>345</v>
      </c>
      <c r="T6" s="467" t="s">
        <v>346</v>
      </c>
      <c r="U6" s="467" t="s">
        <v>347</v>
      </c>
      <c r="V6" s="467" t="s">
        <v>348</v>
      </c>
      <c r="W6" s="467" t="s">
        <v>349</v>
      </c>
      <c r="X6" s="467" t="s">
        <v>350</v>
      </c>
      <c r="Y6" s="467" t="s">
        <v>351</v>
      </c>
      <c r="Z6" s="212" t="e">
        <f t="shared" ref="T6:AF7" si="0">Y6+1</f>
        <v>#VALUE!</v>
      </c>
      <c r="AA6" s="212" t="e">
        <f t="shared" si="0"/>
        <v>#VALUE!</v>
      </c>
      <c r="AB6" s="212" t="e">
        <f t="shared" si="0"/>
        <v>#VALUE!</v>
      </c>
      <c r="AC6" s="212" t="e">
        <f t="shared" si="0"/>
        <v>#VALUE!</v>
      </c>
      <c r="AD6" s="212" t="e">
        <f t="shared" si="0"/>
        <v>#VALUE!</v>
      </c>
      <c r="AE6" s="212" t="e">
        <f t="shared" si="0"/>
        <v>#VALUE!</v>
      </c>
      <c r="AF6" s="212" t="e">
        <f t="shared" si="0"/>
        <v>#VALUE!</v>
      </c>
    </row>
    <row r="7" spans="2:42" outlineLevel="1" x14ac:dyDescent="0.25">
      <c r="B7" s="806"/>
      <c r="C7" s="211">
        <v>1</v>
      </c>
      <c r="D7" s="212">
        <f t="shared" ref="D6:S7" si="1">C7+1</f>
        <v>2</v>
      </c>
      <c r="E7" s="212">
        <f t="shared" si="1"/>
        <v>3</v>
      </c>
      <c r="F7" s="212">
        <f t="shared" si="1"/>
        <v>4</v>
      </c>
      <c r="G7" s="212">
        <f t="shared" si="1"/>
        <v>5</v>
      </c>
      <c r="H7" s="212">
        <f t="shared" si="1"/>
        <v>6</v>
      </c>
      <c r="I7" s="212">
        <f t="shared" si="1"/>
        <v>7</v>
      </c>
      <c r="J7" s="212">
        <f t="shared" si="1"/>
        <v>8</v>
      </c>
      <c r="K7" s="212">
        <f t="shared" si="1"/>
        <v>9</v>
      </c>
      <c r="L7" s="212">
        <f t="shared" si="1"/>
        <v>10</v>
      </c>
      <c r="M7" s="212">
        <f t="shared" si="1"/>
        <v>11</v>
      </c>
      <c r="N7" s="212">
        <f t="shared" si="1"/>
        <v>12</v>
      </c>
      <c r="O7" s="212">
        <f t="shared" si="1"/>
        <v>13</v>
      </c>
      <c r="P7" s="212">
        <f t="shared" si="1"/>
        <v>14</v>
      </c>
      <c r="Q7" s="212">
        <f t="shared" si="1"/>
        <v>15</v>
      </c>
      <c r="R7" s="212">
        <f t="shared" si="1"/>
        <v>16</v>
      </c>
      <c r="S7" s="212">
        <f t="shared" si="1"/>
        <v>17</v>
      </c>
      <c r="T7" s="212">
        <f t="shared" si="0"/>
        <v>18</v>
      </c>
      <c r="U7" s="212">
        <f t="shared" si="0"/>
        <v>19</v>
      </c>
      <c r="V7" s="212">
        <f t="shared" si="0"/>
        <v>20</v>
      </c>
      <c r="W7" s="212">
        <f t="shared" si="0"/>
        <v>21</v>
      </c>
      <c r="X7" s="212">
        <f t="shared" si="0"/>
        <v>22</v>
      </c>
      <c r="Y7" s="212">
        <f t="shared" si="0"/>
        <v>23</v>
      </c>
      <c r="Z7" s="212">
        <f t="shared" si="0"/>
        <v>24</v>
      </c>
      <c r="AA7" s="212">
        <f t="shared" si="0"/>
        <v>25</v>
      </c>
      <c r="AB7" s="212">
        <f t="shared" si="0"/>
        <v>26</v>
      </c>
      <c r="AC7" s="212">
        <f t="shared" si="0"/>
        <v>27</v>
      </c>
      <c r="AD7" s="212">
        <f t="shared" si="0"/>
        <v>28</v>
      </c>
      <c r="AE7" s="212">
        <f t="shared" si="0"/>
        <v>29</v>
      </c>
      <c r="AF7" s="212">
        <f t="shared" si="0"/>
        <v>30</v>
      </c>
    </row>
    <row r="8" spans="2:42" s="330" customFormat="1" outlineLevel="1" x14ac:dyDescent="0.2">
      <c r="B8" s="340" t="s">
        <v>280</v>
      </c>
      <c r="C8" s="324">
        <f>Investimenti!G33-Investimenti!G41</f>
        <v>5172633.5159546323</v>
      </c>
      <c r="D8" s="324">
        <f>IF(D7&lt;=IN!$C$47,SUM(Investimenti!$G$33:H33)-SUM(Investimenti!$G$41:H41),0)</f>
        <v>4937513.8106839666</v>
      </c>
      <c r="E8" s="324">
        <f>IF(E7&lt;=IN!$C$47,SUM(Investimenti!$G$33:I33)-SUM(Investimenti!$G$41:I41),0)</f>
        <v>4702394.1054133018</v>
      </c>
      <c r="F8" s="324">
        <f>IF(F7&lt;=IN!$C$47,SUM(Investimenti!$G$33:J33)-SUM(Investimenti!$G$41:J41),0)</f>
        <v>4467274.4001426371</v>
      </c>
      <c r="G8" s="324">
        <f>IF(G7&lt;=IN!$C$47,SUM(Investimenti!$G$33:K33)-SUM(Investimenti!$G$41:K41),0)</f>
        <v>4232154.6948719714</v>
      </c>
      <c r="H8" s="324">
        <f>IF(H7&lt;=IN!$C$47,SUM(Investimenti!$G$33:L33)-SUM(Investimenti!$G$41:L41),0)</f>
        <v>3997034.9896013066</v>
      </c>
      <c r="I8" s="324">
        <f>IF(I7&lt;=IN!$C$47,SUM(Investimenti!$G$33:M33)-SUM(Investimenti!$G$41:M41),0)</f>
        <v>3761915.2843306419</v>
      </c>
      <c r="J8" s="324">
        <f>IF(J7&lt;=IN!$C$47,SUM(Investimenti!$G$33:N33)-SUM(Investimenti!$G$41:N41),0)</f>
        <v>3526795.5790599766</v>
      </c>
      <c r="K8" s="324">
        <f>IF(K7&lt;=IN!$C$47,SUM(Investimenti!$G$33:O33)-SUM(Investimenti!$G$41:O41),0)</f>
        <v>3291675.8737893114</v>
      </c>
      <c r="L8" s="324">
        <f>IF(L7&lt;=IN!$C$47,SUM(Investimenti!$G$33:P33)-SUM(Investimenti!$G$41:P41),0)</f>
        <v>3056556.1685186462</v>
      </c>
      <c r="M8" s="324">
        <f>IF(M7&lt;=IN!$C$47,SUM(Investimenti!$G$33:Q33)-SUM(Investimenti!$G$41:Q41),0)</f>
        <v>2821436.4632479809</v>
      </c>
      <c r="N8" s="324">
        <f>IF(N7&lt;=IN!$C$47,SUM(Investimenti!$G$33:R33)-SUM(Investimenti!$G$41:R41),0)</f>
        <v>2586316.7579773157</v>
      </c>
      <c r="O8" s="324">
        <f>IF(O7&lt;=IN!$C$47,SUM(Investimenti!$G$33:S33)-SUM(Investimenti!$G$41:S41),0)</f>
        <v>2351197.0527066505</v>
      </c>
      <c r="P8" s="324">
        <f>IF(P7&lt;=IN!$C$47,SUM(Investimenti!$G$33:T33)-SUM(Investimenti!$G$41:T41),0)</f>
        <v>2116077.3474359852</v>
      </c>
      <c r="Q8" s="324">
        <f>IF(Q7&lt;=IN!$C$47,SUM(Investimenti!$G$33:U33)-SUM(Investimenti!$G$41:U41),0)</f>
        <v>1880957.64216532</v>
      </c>
      <c r="R8" s="324">
        <f>IF(R7&lt;=IN!$C$47,SUM(Investimenti!$G$33:V33)-SUM(Investimenti!$G$41:V41),0)</f>
        <v>1645837.9368946548</v>
      </c>
      <c r="S8" s="324">
        <f>IF(S7&lt;=IN!$C$47,SUM(Investimenti!$G$33:W33)-SUM(Investimenti!$G$41:W41),0)</f>
        <v>1410718.2316239895</v>
      </c>
      <c r="T8" s="324">
        <f>IF(T7&lt;=IN!$C$47,SUM(Investimenti!$G$33:X33)-SUM(Investimenti!$G$41:X41),0)</f>
        <v>1175598.5263533248</v>
      </c>
      <c r="U8" s="324">
        <f>IF(U7&lt;=IN!$C$47,SUM(Investimenti!$G$33:Y33)-SUM(Investimenti!$G$41:Y41),0)</f>
        <v>940478.82108266</v>
      </c>
      <c r="V8" s="324">
        <f>IF(V7&lt;=IN!$C$47,SUM(Investimenti!$G$33:Z33)-SUM(Investimenti!$G$41:Z41),0)</f>
        <v>705359.11581199523</v>
      </c>
      <c r="W8" s="324">
        <f>IF(W7&lt;=IN!$C$47,SUM(Investimenti!$G$33:AA33)-SUM(Investimenti!$G$41:AA41),0)</f>
        <v>470239.41054133046</v>
      </c>
      <c r="X8" s="324">
        <f>IF(X7&lt;=IN!$C$47,SUM(Investimenti!$G$33:AB33)-SUM(Investimenti!$G$41:AB41),0)</f>
        <v>235119.7052706657</v>
      </c>
      <c r="Y8" s="324">
        <f>IF(Y7&lt;=IN!$C$47,SUM(Investimenti!$G$33:AC33)-SUM(Investimenti!$G$41:AC41),0)</f>
        <v>9.3132257461547852E-10</v>
      </c>
      <c r="Z8" s="324">
        <f>IF(Z7&lt;=IN!$C$47,SUM(Investimenti!$G$33:AD33)-SUM(Investimenti!$G$41:AD41),0)</f>
        <v>0</v>
      </c>
      <c r="AA8" s="324">
        <f>IF(AA7&lt;=IN!$C$47,SUM(Investimenti!$G$33:AE33)-SUM(Investimenti!$G$41:AE41),0)</f>
        <v>0</v>
      </c>
      <c r="AB8" s="324">
        <f>IF(AB7&lt;=IN!$C$47,SUM(Investimenti!$G$33:AF33)-SUM(Investimenti!$G$41:AF41),0)</f>
        <v>0</v>
      </c>
      <c r="AC8" s="324">
        <f>IF(AC7&lt;=IN!$C$47,SUM(Investimenti!$G$33:AG33)-SUM(Investimenti!$G$41:AG41),0)</f>
        <v>0</v>
      </c>
      <c r="AD8" s="324">
        <f>IF(AD7&lt;=IN!$C$47,SUM(Investimenti!$G$33:AH33)-SUM(Investimenti!$G$41:AH41),0)</f>
        <v>0</v>
      </c>
      <c r="AE8" s="324">
        <f>IF(AE7&lt;=IN!$C$47,SUM(Investimenti!$G$33:AI33)-SUM(Investimenti!$G$41:AI41),0)</f>
        <v>0</v>
      </c>
      <c r="AF8" s="324">
        <f>IF(AF7&lt;=IN!$C$47,SUM(Investimenti!$G$33:AJ33)-SUM(Investimenti!$G$41:AJ41),0)</f>
        <v>0</v>
      </c>
      <c r="AG8" s="329"/>
      <c r="AH8" s="329"/>
      <c r="AI8" s="329"/>
      <c r="AJ8" s="329"/>
      <c r="AK8" s="329"/>
      <c r="AL8" s="329"/>
      <c r="AM8" s="329"/>
      <c r="AN8" s="329"/>
      <c r="AO8" s="329"/>
      <c r="AP8" s="329"/>
    </row>
    <row r="9" spans="2:42" s="330" customFormat="1" outlineLevel="1" x14ac:dyDescent="0.2">
      <c r="B9" s="340" t="s">
        <v>281</v>
      </c>
      <c r="C9" s="324">
        <f>'CE CC opz2'!C84</f>
        <v>-1082506.7491739865</v>
      </c>
      <c r="D9" s="324">
        <f>'CE CC opz2'!D84</f>
        <v>95230.842393755927</v>
      </c>
      <c r="E9" s="324">
        <f>'CE CC opz2'!E84</f>
        <v>95455.558619668096</v>
      </c>
      <c r="F9" s="324">
        <f>'CE CC opz2'!F84</f>
        <v>95682.555232303086</v>
      </c>
      <c r="G9" s="324">
        <f>'CE CC opz2'!G84</f>
        <v>95911.855700017419</v>
      </c>
      <c r="H9" s="324">
        <f>'CE CC opz2'!H84</f>
        <v>96143.483739141026</v>
      </c>
      <c r="I9" s="324">
        <f>'CE CC opz2'!I84</f>
        <v>96377.463316722584</v>
      </c>
      <c r="J9" s="324">
        <f>'CE CC opz2'!J84</f>
        <v>90597.380297143696</v>
      </c>
      <c r="K9" s="324">
        <f>'CE CC opz2'!K84</f>
        <v>96852.574225751974</v>
      </c>
      <c r="L9" s="324">
        <f>'CE CC opz2'!L84</f>
        <v>97093.75477006282</v>
      </c>
      <c r="M9" s="324">
        <f>'CE CC opz2'!M84</f>
        <v>97337.385284282092</v>
      </c>
      <c r="N9" s="324">
        <f>'CE CC opz2'!N84</f>
        <v>97583.491031398196</v>
      </c>
      <c r="O9" s="324">
        <f>'CE CC opz2'!O84</f>
        <v>97832.097542295174</v>
      </c>
      <c r="P9" s="324">
        <f>'CE CC opz2'!P84</f>
        <v>92066.792262572693</v>
      </c>
      <c r="Q9" s="324">
        <f>'CE CC opz2'!Q84</f>
        <v>98336.916336388036</v>
      </c>
      <c r="R9" s="324">
        <f>'CE CC opz2'!R84</f>
        <v>98593.181047868944</v>
      </c>
      <c r="S9" s="324">
        <f>'CE CC opz2'!S84</f>
        <v>98852.05138585133</v>
      </c>
      <c r="T9" s="324">
        <f>'CE CC opz2'!T84</f>
        <v>99113.554266187944</v>
      </c>
      <c r="U9" s="324">
        <f>'CE CC opz2'!U84</f>
        <v>99377.716891081611</v>
      </c>
      <c r="V9" s="324">
        <f>'CE CC opz2'!V84</f>
        <v>99644.566752293191</v>
      </c>
      <c r="W9" s="324">
        <f>'CE CC opz2'!W84</f>
        <v>99914.131634387144</v>
      </c>
      <c r="X9" s="324">
        <f>'CE CC opz2'!X84</f>
        <v>100186.4396180177</v>
      </c>
      <c r="Y9" s="324">
        <f>'CE CC opz2'!Y84</f>
        <v>100461.51908325459</v>
      </c>
      <c r="Z9" s="324">
        <f>'CE CC opz2'!Z84</f>
        <v>0</v>
      </c>
      <c r="AA9" s="324">
        <f>'CE CC opz2'!AA84</f>
        <v>0</v>
      </c>
      <c r="AB9" s="324">
        <f>'CE CC opz2'!AB84</f>
        <v>0</v>
      </c>
      <c r="AC9" s="324">
        <f>'CE CC opz2'!AC84</f>
        <v>0</v>
      </c>
      <c r="AD9" s="324">
        <f>'CE CC opz2'!AD84</f>
        <v>0</v>
      </c>
      <c r="AE9" s="324">
        <f>'CE CC opz2'!AE84</f>
        <v>0</v>
      </c>
      <c r="AF9" s="324">
        <f>'CE CC opz2'!AF84</f>
        <v>0</v>
      </c>
      <c r="AG9" s="331"/>
      <c r="AH9" s="331"/>
      <c r="AI9" s="331"/>
      <c r="AJ9" s="331"/>
      <c r="AK9" s="331"/>
      <c r="AL9" s="331"/>
      <c r="AM9" s="331"/>
      <c r="AN9" s="331"/>
      <c r="AO9" s="331"/>
      <c r="AP9" s="331"/>
    </row>
    <row r="10" spans="2:42" s="330" customFormat="1" outlineLevel="1" x14ac:dyDescent="0.2">
      <c r="B10" s="341" t="s">
        <v>282</v>
      </c>
      <c r="C10" s="338">
        <f>C8+C9</f>
        <v>4090126.7667806456</v>
      </c>
      <c r="D10" s="338">
        <f t="shared" ref="D10:AB10" si="2">D8+D9</f>
        <v>5032744.6530777225</v>
      </c>
      <c r="E10" s="338">
        <f t="shared" si="2"/>
        <v>4797849.6640329696</v>
      </c>
      <c r="F10" s="338">
        <f t="shared" si="2"/>
        <v>4562956.9553749403</v>
      </c>
      <c r="G10" s="338">
        <f t="shared" si="2"/>
        <v>4328066.5505719893</v>
      </c>
      <c r="H10" s="338">
        <f t="shared" si="2"/>
        <v>4093178.4733404475</v>
      </c>
      <c r="I10" s="338">
        <f t="shared" si="2"/>
        <v>3858292.7476473646</v>
      </c>
      <c r="J10" s="338">
        <f t="shared" si="2"/>
        <v>3617392.9593571201</v>
      </c>
      <c r="K10" s="338">
        <f t="shared" si="2"/>
        <v>3388528.4480150635</v>
      </c>
      <c r="L10" s="338">
        <f t="shared" si="2"/>
        <v>3153649.923288709</v>
      </c>
      <c r="M10" s="338">
        <f t="shared" si="2"/>
        <v>2918773.8485322632</v>
      </c>
      <c r="N10" s="338">
        <f t="shared" si="2"/>
        <v>2683900.2490087138</v>
      </c>
      <c r="O10" s="338">
        <f t="shared" si="2"/>
        <v>2449029.1502489457</v>
      </c>
      <c r="P10" s="338">
        <f t="shared" si="2"/>
        <v>2208144.139698558</v>
      </c>
      <c r="Q10" s="338">
        <f t="shared" si="2"/>
        <v>1979294.5585017081</v>
      </c>
      <c r="R10" s="338">
        <f t="shared" si="2"/>
        <v>1744431.1179425237</v>
      </c>
      <c r="S10" s="338">
        <f t="shared" si="2"/>
        <v>1509570.2830098409</v>
      </c>
      <c r="T10" s="338">
        <f t="shared" si="2"/>
        <v>1274712.0806195126</v>
      </c>
      <c r="U10" s="338">
        <f t="shared" si="2"/>
        <v>1039856.5379737417</v>
      </c>
      <c r="V10" s="338">
        <f t="shared" si="2"/>
        <v>805003.68256428838</v>
      </c>
      <c r="W10" s="338">
        <f t="shared" si="2"/>
        <v>570153.54217571765</v>
      </c>
      <c r="X10" s="338">
        <f t="shared" si="2"/>
        <v>335306.1448886834</v>
      </c>
      <c r="Y10" s="338">
        <f t="shared" si="2"/>
        <v>100461.51908325552</v>
      </c>
      <c r="Z10" s="338">
        <f t="shared" si="2"/>
        <v>0</v>
      </c>
      <c r="AA10" s="338">
        <f t="shared" si="2"/>
        <v>0</v>
      </c>
      <c r="AB10" s="338">
        <f t="shared" si="2"/>
        <v>0</v>
      </c>
      <c r="AC10" s="338">
        <f>AC8+AC9</f>
        <v>0</v>
      </c>
      <c r="AD10" s="338">
        <f>AD8+AD9</f>
        <v>0</v>
      </c>
      <c r="AE10" s="338">
        <f>AE8+AE9</f>
        <v>0</v>
      </c>
      <c r="AF10" s="338">
        <f>AF8+AF9</f>
        <v>0</v>
      </c>
      <c r="AG10" s="332"/>
      <c r="AH10" s="332"/>
      <c r="AI10" s="332"/>
      <c r="AJ10" s="332"/>
      <c r="AK10" s="332"/>
      <c r="AL10" s="332"/>
      <c r="AM10" s="332"/>
      <c r="AN10" s="332"/>
      <c r="AO10" s="332"/>
      <c r="AP10" s="332"/>
    </row>
    <row r="11" spans="2:42" s="330" customFormat="1" outlineLevel="1" x14ac:dyDescent="0.2">
      <c r="B11" s="652" t="s">
        <v>501</v>
      </c>
      <c r="C11" s="337">
        <f>-'RF VAL_INV opz2'!C30</f>
        <v>1789620.0117612039</v>
      </c>
      <c r="D11" s="337">
        <f>IN!Q53</f>
        <v>2796889.9660177235</v>
      </c>
      <c r="E11" s="337">
        <f>D11</f>
        <v>2796889.9660177235</v>
      </c>
      <c r="F11" s="337">
        <f>E11</f>
        <v>2796889.9660177235</v>
      </c>
      <c r="G11" s="337">
        <f>F11</f>
        <v>2796889.9660177235</v>
      </c>
      <c r="H11" s="337">
        <f t="shared" ref="H11:Y11" si="3">G11</f>
        <v>2796889.9660177235</v>
      </c>
      <c r="I11" s="337">
        <f t="shared" si="3"/>
        <v>2796889.9660177235</v>
      </c>
      <c r="J11" s="337">
        <f t="shared" si="3"/>
        <v>2796889.9660177235</v>
      </c>
      <c r="K11" s="337">
        <f t="shared" si="3"/>
        <v>2796889.9660177235</v>
      </c>
      <c r="L11" s="337">
        <f t="shared" si="3"/>
        <v>2796889.9660177235</v>
      </c>
      <c r="M11" s="337">
        <f t="shared" si="3"/>
        <v>2796889.9660177235</v>
      </c>
      <c r="N11" s="337">
        <f>M11</f>
        <v>2796889.9660177235</v>
      </c>
      <c r="O11" s="337">
        <f t="shared" si="3"/>
        <v>2796889.9660177235</v>
      </c>
      <c r="P11" s="337">
        <f t="shared" si="3"/>
        <v>2796889.9660177235</v>
      </c>
      <c r="Q11" s="337">
        <f t="shared" si="3"/>
        <v>2796889.9660177235</v>
      </c>
      <c r="R11" s="337">
        <f t="shared" si="3"/>
        <v>2796889.9660177235</v>
      </c>
      <c r="S11" s="337">
        <f>R11</f>
        <v>2796889.9660177235</v>
      </c>
      <c r="T11" s="337">
        <f t="shared" si="3"/>
        <v>2796889.9660177235</v>
      </c>
      <c r="U11" s="337">
        <f t="shared" si="3"/>
        <v>2796889.9660177235</v>
      </c>
      <c r="V11" s="337">
        <f>U11</f>
        <v>2796889.9660177235</v>
      </c>
      <c r="W11" s="337">
        <f t="shared" si="3"/>
        <v>2796889.9660177235</v>
      </c>
      <c r="X11" s="337">
        <f t="shared" si="3"/>
        <v>2796889.9660177235</v>
      </c>
      <c r="Y11" s="337">
        <f t="shared" si="3"/>
        <v>2796889.9660177235</v>
      </c>
      <c r="Z11" s="337"/>
      <c r="AA11" s="653"/>
      <c r="AB11" s="337"/>
      <c r="AC11" s="653"/>
      <c r="AD11" s="337"/>
      <c r="AE11" s="653"/>
      <c r="AF11" s="337"/>
      <c r="AG11" s="332"/>
      <c r="AH11" s="332"/>
      <c r="AI11" s="332"/>
      <c r="AJ11" s="332"/>
      <c r="AK11" s="332"/>
      <c r="AL11" s="332"/>
      <c r="AM11" s="332"/>
      <c r="AN11" s="332"/>
      <c r="AO11" s="332"/>
      <c r="AP11" s="332"/>
    </row>
    <row r="12" spans="2:42" s="330" customFormat="1" outlineLevel="1" x14ac:dyDescent="0.2">
      <c r="B12" s="340" t="s">
        <v>502</v>
      </c>
      <c r="C12" s="324">
        <v>0</v>
      </c>
      <c r="D12" s="324">
        <f>IF(D7&lt;=IN!$C$47,SUM(C12:C13),0)</f>
        <v>-227869.43896740716</v>
      </c>
      <c r="E12" s="324">
        <f>IF(E7&lt;=IN!$C$47,SUM(D12:D13),0)</f>
        <v>-110790.34433910385</v>
      </c>
      <c r="F12" s="324">
        <f>IF(F7&lt;=IN!$C$47,SUM(E12:E13),0)</f>
        <v>8876.7526802411739</v>
      </c>
      <c r="G12" s="324">
        <f>IF(G7&lt;=IN!$C$47,SUM(F12:F13),0)</f>
        <v>131190.03265641886</v>
      </c>
      <c r="H12" s="324">
        <f>IF(H7&lt;=IN!$C$47,SUM(G12:G13),0)</f>
        <v>256209.15820629176</v>
      </c>
      <c r="I12" s="324">
        <f>IF(I7&lt;=IN!$C$47,SUM(H12:H13),0)</f>
        <v>383995.31391635846</v>
      </c>
      <c r="J12" s="324">
        <f>IF(J7&lt;=IN!$C$47,SUM(I12:I13),0)</f>
        <v>514611.24736036191</v>
      </c>
      <c r="K12" s="324">
        <f>IF(K7&lt;=IN!$C$47,SUM(J12:J13),0)</f>
        <v>626581.31124645355</v>
      </c>
      <c r="L12" s="324">
        <f>IF(L7&lt;=IN!$C$47,SUM(K12:K13),0)</f>
        <v>763051.50672526937</v>
      </c>
      <c r="M12" s="324">
        <f>IF(M7&lt;=IN!$C$47,SUM(L12:L13),0)</f>
        <v>902549.52789115161</v>
      </c>
      <c r="N12" s="324">
        <f>IF(N7&lt;=IN!$C$47,SUM(M12:M13),0)</f>
        <v>1045144.8075096437</v>
      </c>
      <c r="O12" s="324">
        <f>IF(O7&lt;=IN!$C$47,SUM(N12:N13),0)</f>
        <v>1190908.5640053116</v>
      </c>
      <c r="P12" s="324">
        <f>IF(P7&lt;=IN!$C$47,SUM(O12:O13),0)</f>
        <v>1339913.8497448904</v>
      </c>
      <c r="Q12" s="324">
        <f>IF(Q7&lt;=IN!$C$47,SUM(P12:P13),0)</f>
        <v>1470695.6006517317</v>
      </c>
      <c r="R12" s="324">
        <f>IF(R7&lt;=IN!$C$47,SUM(Q12:Q13),0)</f>
        <v>1626410.6871885289</v>
      </c>
      <c r="S12" s="324">
        <f>IF(S7&lt;=IN!$C$47,SUM(R12:R13),0)</f>
        <v>1785597.9667463249</v>
      </c>
      <c r="T12" s="324">
        <f>IF(T7&lt;=IN!$C$47,SUM(S12:S13),0)</f>
        <v>1948338.3374788705</v>
      </c>
      <c r="U12" s="324">
        <f>IF(U7&lt;=IN!$C$47,SUM(T12:T13),0)</f>
        <v>2114714.7936224826</v>
      </c>
      <c r="V12" s="324">
        <f>IF(V7&lt;=IN!$C$47,SUM(U12:U13),0)</f>
        <v>2284812.4823426758</v>
      </c>
      <c r="W12" s="324">
        <f>IF(W7&lt;=IN!$C$47,SUM(V12:V13),0)</f>
        <v>2458718.762149991</v>
      </c>
      <c r="X12" s="324">
        <f>IF(X7&lt;=IN!$C$47,SUM(W12:W13),0)</f>
        <v>2636836.7388746552</v>
      </c>
      <c r="Y12" s="324">
        <f>IF(Y7&lt;=IN!$C$47,SUM(X12:X13),0)</f>
        <v>2818962.2708829618</v>
      </c>
      <c r="Z12" s="324">
        <f>IF(Z7&lt;=IN!$C$47,SUM(Y12:Y13),0)</f>
        <v>0</v>
      </c>
      <c r="AA12" s="324">
        <f>IF(AA7&lt;=IN!$C$47,SUM(Z12:Z13),0)</f>
        <v>0</v>
      </c>
      <c r="AB12" s="324">
        <f>IF(AB7&lt;=IN!$C$47,SUM(AA12:AA13),0)</f>
        <v>0</v>
      </c>
      <c r="AC12" s="324">
        <f>IF(AC7&lt;=IN!$C$47,SUM(AB12:AB13),0)</f>
        <v>0</v>
      </c>
      <c r="AD12" s="324">
        <f>IF(AD7&lt;=IN!$C$47,SUM(AC12:AC13),0)</f>
        <v>0</v>
      </c>
      <c r="AE12" s="324">
        <f>IF(AE7&lt;=IN!$C$47,SUM(AD12:AD13),0)</f>
        <v>0</v>
      </c>
      <c r="AF12" s="324">
        <f>IF(AF7&lt;=IN!$C$47,SUM(AE12:AE13),0)</f>
        <v>0</v>
      </c>
      <c r="AG12" s="331"/>
      <c r="AH12" s="331"/>
      <c r="AI12" s="331"/>
      <c r="AJ12" s="331"/>
      <c r="AK12" s="331"/>
      <c r="AL12" s="331"/>
      <c r="AM12" s="331"/>
      <c r="AN12" s="331"/>
      <c r="AO12" s="331"/>
      <c r="AP12" s="331"/>
    </row>
    <row r="13" spans="2:42" s="330" customFormat="1" outlineLevel="1" x14ac:dyDescent="0.2">
      <c r="B13" s="340" t="s">
        <v>283</v>
      </c>
      <c r="C13" s="324">
        <f>IF(C7&lt;=IN!$C$47,'CE CC opz2'!C47,0)</f>
        <v>-227869.43896740716</v>
      </c>
      <c r="D13" s="324">
        <f>IF(D7&lt;=IN!$C$47,'CE CC opz2'!D47,0)</f>
        <v>117079.09462830331</v>
      </c>
      <c r="E13" s="324">
        <f>IF(E7&lt;=IN!$C$47,'CE CC opz2'!E47,0)</f>
        <v>119667.09701934502</v>
      </c>
      <c r="F13" s="324">
        <f>IF(F7&lt;=IN!$C$47,'CE CC opz2'!F47,0)</f>
        <v>122313.27997617767</v>
      </c>
      <c r="G13" s="324">
        <f>IF(G7&lt;=IN!$C$47,'CE CC opz2'!G47,0)</f>
        <v>125019.1255498729</v>
      </c>
      <c r="H13" s="324">
        <f>IF(H7&lt;=IN!$C$47,'CE CC opz2'!H47,0)</f>
        <v>127786.15571006668</v>
      </c>
      <c r="I13" s="324">
        <f>IF(I7&lt;=IN!$C$47,'CE CC opz2'!I47,0)</f>
        <v>130615.93344400347</v>
      </c>
      <c r="J13" s="324">
        <f>IF(J7&lt;=IN!$C$47,'CE CC opz2'!J47,0)</f>
        <v>111970.0638860917</v>
      </c>
      <c r="K13" s="324">
        <f>IF(K7&lt;=IN!$C$47,'CE CC opz2'!K47,0)</f>
        <v>136470.19547881579</v>
      </c>
      <c r="L13" s="324">
        <f>IF(L7&lt;=IN!$C$47,'CE CC opz2'!L47,0)</f>
        <v>139498.02116588224</v>
      </c>
      <c r="M13" s="324">
        <f>IF(M7&lt;=IN!$C$47,'CE CC opz2'!M47,0)</f>
        <v>142595.27961849212</v>
      </c>
      <c r="N13" s="324">
        <f>IF(N7&lt;=IN!$C$47,'CE CC opz2'!N47,0)</f>
        <v>145763.75649566791</v>
      </c>
      <c r="O13" s="324">
        <f>IF(O7&lt;=IN!$C$47,'CE CC opz2'!O47,0)</f>
        <v>149005.28573957877</v>
      </c>
      <c r="P13" s="324">
        <f>IF(P7&lt;=IN!$C$47,'CE CC opz2'!P47,0)</f>
        <v>130781.75090684139</v>
      </c>
      <c r="Q13" s="324">
        <f>IF(Q7&lt;=IN!$C$47,'CE CC opz2'!Q47,0)</f>
        <v>155715.08653679729</v>
      </c>
      <c r="R13" s="324">
        <f>IF(R7&lt;=IN!$C$47,'CE CC opz2'!R47,0)</f>
        <v>159187.27955779605</v>
      </c>
      <c r="S13" s="324">
        <f>IF(S7&lt;=IN!$C$47,'CE CC opz2'!S47,0)</f>
        <v>162740.3707325455</v>
      </c>
      <c r="T13" s="324">
        <f>IF(T7&lt;=IN!$C$47,'CE CC opz2'!T47,0)</f>
        <v>166376.45614361184</v>
      </c>
      <c r="U13" s="324">
        <f>IF(U7&lt;=IN!$C$47,'CE CC opz2'!U47,0)</f>
        <v>170097.68872019323</v>
      </c>
      <c r="V13" s="324">
        <f>IF(V7&lt;=IN!$C$47,'CE CC opz2'!V47,0)</f>
        <v>173906.27980731506</v>
      </c>
      <c r="W13" s="324">
        <f>IF(W7&lt;=IN!$C$47,'CE CC opz2'!W47,0)</f>
        <v>178117.97672466421</v>
      </c>
      <c r="X13" s="324">
        <f>IF(X7&lt;=IN!$C$47,'CE CC opz2'!X47,0)</f>
        <v>182125.53200830647</v>
      </c>
      <c r="Y13" s="324">
        <f>IF(Y7&lt;=IN!$C$47,'CE CC opz2'!Y47,0)</f>
        <v>186227.62039950339</v>
      </c>
      <c r="Z13" s="324">
        <f>IF(Z7&lt;=IN!$C$47,'CE CC opz2'!Z47,0)</f>
        <v>0</v>
      </c>
      <c r="AA13" s="324">
        <f>IF(AA7&lt;=IN!$C$47,'CE CC opz2'!AA47,0)</f>
        <v>0</v>
      </c>
      <c r="AB13" s="324">
        <f>IF(AB7&lt;=IN!$C$47,'CE CC opz2'!AB47,0)</f>
        <v>0</v>
      </c>
      <c r="AC13" s="324">
        <f>IF(AC7&lt;=IN!$C$47,'CE CC opz2'!AC47,0)</f>
        <v>0</v>
      </c>
      <c r="AD13" s="324">
        <f>IF(AD7&lt;=IN!$C$47,'CE CC opz2'!AD47,0)</f>
        <v>0</v>
      </c>
      <c r="AE13" s="324">
        <f>IF(AE7&lt;=IN!$C$47,'CE CC opz2'!AE47,0)</f>
        <v>0</v>
      </c>
      <c r="AF13" s="324">
        <f>IF(AF7&lt;=IN!$C$47,'CE CC opz2'!AF47,0)</f>
        <v>0</v>
      </c>
      <c r="AG13" s="331"/>
      <c r="AH13" s="331"/>
      <c r="AI13" s="331"/>
      <c r="AJ13" s="331"/>
      <c r="AK13" s="331"/>
      <c r="AL13" s="331"/>
      <c r="AM13" s="331"/>
      <c r="AN13" s="331"/>
      <c r="AO13" s="331"/>
      <c r="AP13" s="331"/>
    </row>
    <row r="14" spans="2:42" s="330" customFormat="1" hidden="1" outlineLevel="2" x14ac:dyDescent="0.2">
      <c r="B14" s="391" t="s">
        <v>284</v>
      </c>
      <c r="C14" s="326" cm="1">
        <f t="array" ref="C14:AF14">TRANSPOSE(IN!R57:R86)</f>
        <v>2528376.1939868489</v>
      </c>
      <c r="D14" s="326">
        <v>2443587.7437580661</v>
      </c>
      <c r="E14" s="326">
        <v>2356433.6957679</v>
      </c>
      <c r="F14" s="326">
        <v>2266848.0498388084</v>
      </c>
      <c r="G14" s="326">
        <v>2174762.9643882951</v>
      </c>
      <c r="H14" s="326">
        <v>2080108.7050537125</v>
      </c>
      <c r="I14" s="326">
        <v>1982813.591883695</v>
      </c>
      <c r="J14" s="326">
        <v>1882803.945056234</v>
      </c>
      <c r="K14" s="326">
        <v>1780004.0290822869</v>
      </c>
      <c r="L14" s="326">
        <v>1674335.9954526667</v>
      </c>
      <c r="M14" s="326">
        <v>1565719.8236847799</v>
      </c>
      <c r="N14" s="326">
        <v>1454073.2607245692</v>
      </c>
      <c r="O14" s="326">
        <v>1339311.7586577686</v>
      </c>
      <c r="P14" s="326">
        <v>1221348.4106833043</v>
      </c>
      <c r="Q14" s="326">
        <v>1100093.8853003525</v>
      </c>
      <c r="R14" s="326">
        <v>975456.3586592162</v>
      </c>
      <c r="S14" s="326">
        <v>847341.44502479222</v>
      </c>
      <c r="T14" s="326">
        <v>715652.12529996783</v>
      </c>
      <c r="U14" s="326">
        <v>580288.67355482082</v>
      </c>
      <c r="V14" s="326">
        <v>441148.58150598418</v>
      </c>
      <c r="W14" s="326">
        <v>298126.48088898498</v>
      </c>
      <c r="X14" s="326">
        <v>151114.06366477153</v>
      </c>
      <c r="Y14" s="326">
        <v>2.5320332497358322E-9</v>
      </c>
      <c r="Z14" s="326">
        <v>0</v>
      </c>
      <c r="AA14" s="326">
        <v>0</v>
      </c>
      <c r="AB14" s="326">
        <v>0</v>
      </c>
      <c r="AC14" s="326">
        <v>0</v>
      </c>
      <c r="AD14" s="326">
        <v>0</v>
      </c>
      <c r="AE14" s="326">
        <v>0</v>
      </c>
      <c r="AF14" s="326">
        <v>0</v>
      </c>
      <c r="AG14" s="331"/>
      <c r="AH14" s="331"/>
      <c r="AI14" s="331"/>
      <c r="AJ14" s="331"/>
      <c r="AK14" s="331"/>
      <c r="AL14" s="331"/>
      <c r="AM14" s="331"/>
      <c r="AN14" s="331"/>
      <c r="AO14" s="331"/>
      <c r="AP14" s="331"/>
    </row>
    <row r="15" spans="2:42" s="330" customFormat="1" hidden="1" outlineLevel="2" x14ac:dyDescent="0.2">
      <c r="B15" s="391" t="s">
        <v>285</v>
      </c>
      <c r="C15" s="326">
        <f>IF(C7&lt;=IN!$C$47,-'RF VAL_INV opz2'!C30,0)-C11</f>
        <v>0</v>
      </c>
      <c r="D15" s="326">
        <f>IF(D7&lt;=IN!$C$47,-'RF VAL_INV opz2'!C30-'RF VAL_INV opz2'!D30,0)-D11</f>
        <v>-96942.712358962744</v>
      </c>
      <c r="E15" s="326">
        <f>IF(E7&lt;=IN!$C$47,D15-'RF VAL_INV opz2'!E30,0)</f>
        <v>-364350.75043289468</v>
      </c>
      <c r="F15" s="326">
        <f>IF(F7&lt;=IN!$C$47,E15-'RF VAL_INV opz2'!F30,0)</f>
        <v>-631971.09313801071</v>
      </c>
      <c r="G15" s="326">
        <f>IF(G7&lt;=IN!$C$47,F15-'RF VAL_INV opz2'!G30,0)</f>
        <v>-899795.53804032097</v>
      </c>
      <c r="H15" s="326">
        <f>IF(H7&lt;=IN!$C$47,G15-'RF VAL_INV opz2'!H30,0)</f>
        <v>-1167815.5116473464</v>
      </c>
      <c r="I15" s="326">
        <f>IF(I7&lt;=IN!$C$47,H15-'RF VAL_INV opz2'!I30,0)</f>
        <v>-1436022.0576144159</v>
      </c>
      <c r="J15" s="326">
        <f>IF(J7&lt;=IN!$C$47,I15-'RF VAL_INV opz2'!J30,0)</f>
        <v>-1688882.2629632906</v>
      </c>
      <c r="K15" s="326">
        <f>IF(K7&lt;=IN!$C$47,J15-'RF VAL_INV opz2'!K30,0)</f>
        <v>-1951417.053810216</v>
      </c>
      <c r="L15" s="326">
        <f>IF(L7&lt;=IN!$C$47,K15-'RF VAL_INV opz2'!L30,0)</f>
        <v>-2220125.5660728323</v>
      </c>
      <c r="M15" s="326">
        <f>IF(M7&lt;=IN!$C$47,L15-'RF VAL_INV opz2'!M30,0)</f>
        <v>-2488980.7486798838</v>
      </c>
      <c r="N15" s="326">
        <f>IF(N7&lt;=IN!$C$47,M15-'RF VAL_INV opz2'!N30,0)</f>
        <v>-2757971.5417388901</v>
      </c>
      <c r="O15" s="326">
        <f>IF(O7&lt;=IN!$C$47,N15-'RF VAL_INV opz2'!O30,0)</f>
        <v>-3027086.4241714366</v>
      </c>
      <c r="P15" s="326">
        <f>IF(P7&lt;=IN!$C$47,O15-'RF VAL_INV opz2'!P30,0)</f>
        <v>-3280789.8376542013</v>
      </c>
      <c r="Q15" s="326">
        <f>IF(Q7&lt;=IN!$C$47,P15-'RF VAL_INV opz2'!Q30,0)</f>
        <v>-3544099.9800048964</v>
      </c>
      <c r="R15" s="326">
        <f>IF(R7&lt;=IN!$C$47,Q15-'RF VAL_INV opz2'!R30,0)</f>
        <v>-3813513.1734807403</v>
      </c>
      <c r="S15" s="326">
        <f>IF(S7&lt;=IN!$C$47,R15-'RF VAL_INV opz2'!S30,0)</f>
        <v>-4082999.4655115446</v>
      </c>
      <c r="T15" s="326">
        <f>IF(T7&lt;=IN!$C$47,S15-'RF VAL_INV opz2'!T30,0)</f>
        <v>-4352544.8043206604</v>
      </c>
      <c r="U15" s="326">
        <f>IF(U7&lt;=IN!$C$47,T15-'RF VAL_INV opz2'!U30,0)</f>
        <v>-4622134.5839414783</v>
      </c>
      <c r="V15" s="326">
        <f>IF(V7&lt;=IN!$C$47,U15-'RF VAL_INV opz2'!V30,0)</f>
        <v>-4891753.6271094102</v>
      </c>
      <c r="W15" s="326">
        <f>IF(W7&lt;=IN!$C$47,V15-'RF VAL_INV opz2'!W30,0)</f>
        <v>-5161699.6436056467</v>
      </c>
      <c r="X15" s="326">
        <f>IF(X7&lt;=IN!$C$47,W15-'RF VAL_INV opz2'!X30,0)</f>
        <v>-5431660.1556767747</v>
      </c>
      <c r="Y15" s="326">
        <f>IF(Y7&lt;=IN!$C$47,X15-'RF VAL_INV opz2'!Y30,0)</f>
        <v>-5701618.3382169371</v>
      </c>
      <c r="Z15" s="326">
        <f>IF(Z7&lt;=IN!$C$47,Y15-'RF VAL_INV opz2'!Z30,0)</f>
        <v>0</v>
      </c>
      <c r="AA15" s="326">
        <f>IF(AA7&lt;=IN!$C$47,Z15-'RF VAL_INV opz2'!AA30,0)</f>
        <v>0</v>
      </c>
      <c r="AB15" s="326">
        <f>IF(AB7&lt;=IN!$C$47,AA15-'RF VAL_INV opz2'!AB30,0)</f>
        <v>0</v>
      </c>
      <c r="AC15" s="326">
        <f>IF(AC7&lt;=IN!$C$47,AB15-'RF VAL_INV opz2'!AC30,0)</f>
        <v>0</v>
      </c>
      <c r="AD15" s="326">
        <f>IF(AD7&lt;=IN!$C$47,AC15-'RF VAL_INV opz2'!AD30,0)</f>
        <v>0</v>
      </c>
      <c r="AE15" s="326">
        <f>IF(AE7&lt;=IN!$C$47,AD15-'RF VAL_INV opz2'!AE30,0)</f>
        <v>0</v>
      </c>
      <c r="AF15" s="326">
        <f>IF(AF7&lt;=IN!$C$47,AE15-'RF VAL_INV opz2'!AF30,0)</f>
        <v>0</v>
      </c>
      <c r="AG15" s="331"/>
      <c r="AH15" s="331"/>
      <c r="AI15" s="331"/>
      <c r="AJ15" s="331"/>
      <c r="AK15" s="331"/>
      <c r="AL15" s="331"/>
      <c r="AM15" s="331"/>
      <c r="AN15" s="331"/>
      <c r="AO15" s="331"/>
      <c r="AP15" s="331"/>
    </row>
    <row r="16" spans="2:42" s="330" customFormat="1" outlineLevel="1" collapsed="1" x14ac:dyDescent="0.2">
      <c r="B16" s="340" t="s">
        <v>286</v>
      </c>
      <c r="C16" s="324">
        <f>SUM(C14:C15)</f>
        <v>2528376.1939868489</v>
      </c>
      <c r="D16" s="324">
        <f>SUM(D14:D15)</f>
        <v>2346645.0313991033</v>
      </c>
      <c r="E16" s="324">
        <f t="shared" ref="E16:AF16" si="4">SUM(E14:E15)</f>
        <v>1992082.9453350054</v>
      </c>
      <c r="F16" s="324">
        <f t="shared" si="4"/>
        <v>1634876.9567007977</v>
      </c>
      <c r="G16" s="324">
        <f t="shared" si="4"/>
        <v>1274967.4263479742</v>
      </c>
      <c r="H16" s="324">
        <f t="shared" si="4"/>
        <v>912293.19340636604</v>
      </c>
      <c r="I16" s="324">
        <f t="shared" si="4"/>
        <v>546791.5342692791</v>
      </c>
      <c r="J16" s="324">
        <f t="shared" si="4"/>
        <v>193921.68209294346</v>
      </c>
      <c r="K16" s="324">
        <f t="shared" si="4"/>
        <v>-171413.02472792915</v>
      </c>
      <c r="L16" s="324">
        <f t="shared" si="4"/>
        <v>-545789.57062016567</v>
      </c>
      <c r="M16" s="324">
        <f t="shared" si="4"/>
        <v>-923260.92499510385</v>
      </c>
      <c r="N16" s="324">
        <f t="shared" si="4"/>
        <v>-1303898.2810143209</v>
      </c>
      <c r="O16" s="324">
        <f t="shared" si="4"/>
        <v>-1687774.665513668</v>
      </c>
      <c r="P16" s="324">
        <f t="shared" si="4"/>
        <v>-2059441.426970897</v>
      </c>
      <c r="Q16" s="324">
        <f t="shared" si="4"/>
        <v>-2444006.0947045442</v>
      </c>
      <c r="R16" s="324">
        <f t="shared" si="4"/>
        <v>-2838056.8148215241</v>
      </c>
      <c r="S16" s="324">
        <f t="shared" si="4"/>
        <v>-3235658.0204867525</v>
      </c>
      <c r="T16" s="324">
        <f t="shared" si="4"/>
        <v>-3636892.6790206926</v>
      </c>
      <c r="U16" s="324">
        <f t="shared" si="4"/>
        <v>-4041845.9103866573</v>
      </c>
      <c r="V16" s="324">
        <f t="shared" si="4"/>
        <v>-4450605.0456034262</v>
      </c>
      <c r="W16" s="324">
        <f t="shared" si="4"/>
        <v>-4863573.1627166616</v>
      </c>
      <c r="X16" s="324">
        <f t="shared" si="4"/>
        <v>-5280546.0920120031</v>
      </c>
      <c r="Y16" s="324">
        <f t="shared" si="4"/>
        <v>-5701618.3382169344</v>
      </c>
      <c r="Z16" s="324">
        <f t="shared" si="4"/>
        <v>0</v>
      </c>
      <c r="AA16" s="324">
        <f t="shared" si="4"/>
        <v>0</v>
      </c>
      <c r="AB16" s="324">
        <f t="shared" si="4"/>
        <v>0</v>
      </c>
      <c r="AC16" s="324">
        <f t="shared" si="4"/>
        <v>0</v>
      </c>
      <c r="AD16" s="324">
        <f t="shared" si="4"/>
        <v>0</v>
      </c>
      <c r="AE16" s="324">
        <f t="shared" si="4"/>
        <v>0</v>
      </c>
      <c r="AF16" s="324">
        <f t="shared" si="4"/>
        <v>0</v>
      </c>
      <c r="AG16" s="329"/>
      <c r="AH16" s="329"/>
      <c r="AI16" s="329"/>
      <c r="AJ16" s="329"/>
      <c r="AK16" s="329"/>
      <c r="AL16" s="329"/>
      <c r="AM16" s="329"/>
      <c r="AN16" s="329"/>
      <c r="AO16" s="329"/>
      <c r="AP16" s="329"/>
    </row>
    <row r="17" spans="2:42" s="330" customFormat="1" outlineLevel="1" x14ac:dyDescent="0.2">
      <c r="B17" s="342" t="s">
        <v>287</v>
      </c>
      <c r="C17" s="339">
        <f>SUM(C11:C13,C16)</f>
        <v>4090126.7667806456</v>
      </c>
      <c r="D17" s="339">
        <f>SUM(D11:D13,D16)</f>
        <v>5032744.6530777235</v>
      </c>
      <c r="E17" s="339">
        <f>SUM(E11:E13,E16)</f>
        <v>4797849.6640329696</v>
      </c>
      <c r="F17" s="339">
        <f>SUM(F11:F13,F16)</f>
        <v>4562956.9553749394</v>
      </c>
      <c r="G17" s="339">
        <f t="shared" ref="G17:Y17" si="5">SUM(G11:G13,G16)</f>
        <v>4328066.5505719893</v>
      </c>
      <c r="H17" s="339">
        <f t="shared" si="5"/>
        <v>4093178.473340448</v>
      </c>
      <c r="I17" s="339">
        <f t="shared" si="5"/>
        <v>3858292.7476473646</v>
      </c>
      <c r="J17" s="339">
        <f t="shared" si="5"/>
        <v>3617392.9593571201</v>
      </c>
      <c r="K17" s="339">
        <f t="shared" si="5"/>
        <v>3388528.4480150631</v>
      </c>
      <c r="L17" s="339">
        <f t="shared" si="5"/>
        <v>3153649.9232887095</v>
      </c>
      <c r="M17" s="339">
        <f t="shared" si="5"/>
        <v>2918773.8485322632</v>
      </c>
      <c r="N17" s="339">
        <f t="shared" si="5"/>
        <v>2683900.2490087142</v>
      </c>
      <c r="O17" s="339">
        <f t="shared" si="5"/>
        <v>2449029.1502489457</v>
      </c>
      <c r="P17" s="339">
        <f t="shared" si="5"/>
        <v>2208144.1396985585</v>
      </c>
      <c r="Q17" s="339">
        <f t="shared" si="5"/>
        <v>1979294.5585017083</v>
      </c>
      <c r="R17" s="339">
        <f t="shared" si="5"/>
        <v>1744431.1179425246</v>
      </c>
      <c r="S17" s="339">
        <f t="shared" si="5"/>
        <v>1509570.283009842</v>
      </c>
      <c r="T17" s="339">
        <f t="shared" si="5"/>
        <v>1274712.0806195131</v>
      </c>
      <c r="U17" s="339">
        <f t="shared" si="5"/>
        <v>1039856.5379737411</v>
      </c>
      <c r="V17" s="339">
        <f t="shared" si="5"/>
        <v>805003.68256428838</v>
      </c>
      <c r="W17" s="339">
        <f t="shared" si="5"/>
        <v>570153.54217571672</v>
      </c>
      <c r="X17" s="339">
        <f t="shared" si="5"/>
        <v>335306.14488868136</v>
      </c>
      <c r="Y17" s="339">
        <f t="shared" si="5"/>
        <v>100461.51908325404</v>
      </c>
      <c r="Z17" s="339">
        <f t="shared" ref="Z17:AF17" si="6">SUM(Z12:Z13,Z16)</f>
        <v>0</v>
      </c>
      <c r="AA17" s="339">
        <f t="shared" si="6"/>
        <v>0</v>
      </c>
      <c r="AB17" s="339">
        <f t="shared" si="6"/>
        <v>0</v>
      </c>
      <c r="AC17" s="339">
        <f t="shared" si="6"/>
        <v>0</v>
      </c>
      <c r="AD17" s="339">
        <f t="shared" si="6"/>
        <v>0</v>
      </c>
      <c r="AE17" s="339">
        <f t="shared" si="6"/>
        <v>0</v>
      </c>
      <c r="AF17" s="339">
        <f t="shared" si="6"/>
        <v>0</v>
      </c>
      <c r="AG17" s="333"/>
      <c r="AH17" s="333"/>
      <c r="AI17" s="333"/>
      <c r="AJ17" s="333"/>
      <c r="AK17" s="333"/>
      <c r="AL17" s="333"/>
      <c r="AM17" s="333"/>
      <c r="AN17" s="333"/>
      <c r="AO17" s="333"/>
      <c r="AP17" s="333"/>
    </row>
    <row r="18" spans="2:42" s="330" customFormat="1" outlineLevel="1" x14ac:dyDescent="0.2">
      <c r="B18" s="650"/>
      <c r="C18" s="651"/>
      <c r="D18" s="651"/>
      <c r="E18" s="651"/>
      <c r="F18" s="651"/>
      <c r="G18" s="651"/>
      <c r="H18" s="651"/>
      <c r="I18" s="651"/>
      <c r="J18" s="651"/>
      <c r="K18" s="651"/>
      <c r="L18" s="651"/>
      <c r="M18" s="651"/>
      <c r="N18" s="651"/>
      <c r="O18" s="651"/>
      <c r="P18" s="651"/>
      <c r="Q18" s="651"/>
      <c r="R18" s="651"/>
      <c r="S18" s="651"/>
      <c r="T18" s="651"/>
      <c r="U18" s="651"/>
      <c r="V18" s="651"/>
      <c r="W18" s="651"/>
      <c r="X18" s="651"/>
      <c r="Y18" s="651"/>
      <c r="Z18" s="651"/>
      <c r="AA18" s="651"/>
      <c r="AB18" s="651"/>
      <c r="AC18" s="651"/>
      <c r="AD18" s="651"/>
      <c r="AE18" s="651"/>
      <c r="AF18" s="651"/>
      <c r="AG18" s="333"/>
      <c r="AH18" s="333"/>
      <c r="AI18" s="333"/>
      <c r="AJ18" s="333"/>
      <c r="AK18" s="333"/>
      <c r="AL18" s="333"/>
      <c r="AM18" s="333"/>
      <c r="AN18" s="333"/>
      <c r="AO18" s="333"/>
      <c r="AP18" s="333"/>
    </row>
    <row r="19" spans="2:42" s="330" customFormat="1" outlineLevel="1" x14ac:dyDescent="0.2">
      <c r="B19" s="650"/>
      <c r="C19" s="651"/>
      <c r="D19" s="651"/>
      <c r="E19" s="651"/>
      <c r="F19" s="651"/>
      <c r="G19" s="651"/>
      <c r="H19" s="651"/>
      <c r="I19" s="651"/>
      <c r="J19" s="651"/>
      <c r="K19" s="651"/>
      <c r="L19" s="651"/>
      <c r="M19" s="651"/>
      <c r="N19" s="651"/>
      <c r="O19" s="651"/>
      <c r="P19" s="651"/>
      <c r="Q19" s="651"/>
      <c r="R19" s="651"/>
      <c r="S19" s="651"/>
      <c r="T19" s="651"/>
      <c r="U19" s="651"/>
      <c r="V19" s="651"/>
      <c r="W19" s="651"/>
      <c r="X19" s="651"/>
      <c r="Y19" s="651"/>
      <c r="Z19" s="651"/>
      <c r="AA19" s="651"/>
      <c r="AB19" s="651"/>
      <c r="AC19" s="651"/>
      <c r="AD19" s="651"/>
      <c r="AE19" s="651"/>
      <c r="AF19" s="651"/>
      <c r="AG19" s="333"/>
      <c r="AH19" s="333"/>
      <c r="AI19" s="333"/>
      <c r="AJ19" s="333"/>
      <c r="AK19" s="333"/>
      <c r="AL19" s="333"/>
      <c r="AM19" s="333"/>
      <c r="AN19" s="333"/>
      <c r="AO19" s="333"/>
      <c r="AP19" s="333"/>
    </row>
    <row r="20" spans="2:42" s="330" customFormat="1" outlineLevel="1" x14ac:dyDescent="0.2">
      <c r="B20" s="650"/>
      <c r="C20" s="651"/>
      <c r="D20" s="651"/>
      <c r="E20" s="651"/>
      <c r="F20" s="651"/>
      <c r="G20" s="651"/>
      <c r="H20" s="651"/>
      <c r="I20" s="651"/>
      <c r="J20" s="651"/>
      <c r="K20" s="651"/>
      <c r="L20" s="651"/>
      <c r="M20" s="651"/>
      <c r="N20" s="651"/>
      <c r="O20" s="651"/>
      <c r="P20" s="651"/>
      <c r="Q20" s="651"/>
      <c r="R20" s="651"/>
      <c r="S20" s="651"/>
      <c r="T20" s="651"/>
      <c r="U20" s="651"/>
      <c r="V20" s="651"/>
      <c r="W20" s="651"/>
      <c r="X20" s="651"/>
      <c r="Y20" s="651"/>
      <c r="Z20" s="651"/>
      <c r="AA20" s="651"/>
      <c r="AB20" s="651"/>
      <c r="AC20" s="651"/>
      <c r="AD20" s="651"/>
      <c r="AE20" s="651"/>
      <c r="AF20" s="651"/>
      <c r="AG20" s="333"/>
      <c r="AH20" s="333"/>
      <c r="AI20" s="333"/>
      <c r="AJ20" s="333"/>
      <c r="AK20" s="333"/>
      <c r="AL20" s="333"/>
      <c r="AM20" s="333"/>
      <c r="AN20" s="333"/>
      <c r="AO20" s="333"/>
      <c r="AP20" s="333"/>
    </row>
    <row r="21" spans="2:42" x14ac:dyDescent="0.25">
      <c r="B21" s="4"/>
      <c r="C21" s="388"/>
      <c r="D21" s="388"/>
      <c r="E21" s="388"/>
      <c r="F21" s="388"/>
      <c r="G21" s="388"/>
      <c r="H21" s="388"/>
      <c r="I21" s="388"/>
      <c r="J21" s="388"/>
      <c r="K21" s="388"/>
      <c r="L21" s="388"/>
      <c r="M21" s="388"/>
      <c r="N21" s="388"/>
      <c r="O21" s="388"/>
      <c r="P21" s="388"/>
      <c r="Q21" s="388"/>
      <c r="R21" s="388"/>
      <c r="S21" s="388"/>
      <c r="T21" s="388"/>
      <c r="U21" s="388"/>
      <c r="V21" s="388"/>
      <c r="W21" s="388"/>
      <c r="X21" s="388"/>
      <c r="Y21" s="388"/>
      <c r="Z21" s="388"/>
      <c r="AA21" s="388"/>
      <c r="AB21" s="388"/>
      <c r="AC21" s="388"/>
      <c r="AD21" s="388"/>
      <c r="AE21" s="388"/>
      <c r="AF21" s="388"/>
    </row>
    <row r="22" spans="2:42" x14ac:dyDescent="0.25">
      <c r="B22" s="398"/>
      <c r="C22" s="403"/>
      <c r="D22" s="403"/>
      <c r="E22" s="403"/>
      <c r="F22" s="403"/>
      <c r="G22" s="403"/>
      <c r="H22" s="403"/>
      <c r="I22" s="403"/>
      <c r="J22" s="403"/>
      <c r="K22" s="403"/>
      <c r="L22" s="403"/>
      <c r="M22" s="403"/>
      <c r="N22" s="403"/>
      <c r="O22" s="403"/>
      <c r="P22" s="403"/>
      <c r="Q22" s="403"/>
      <c r="R22" s="403"/>
      <c r="S22" s="403"/>
      <c r="T22" s="403"/>
      <c r="U22" s="403"/>
      <c r="V22" s="403"/>
      <c r="W22" s="403"/>
      <c r="X22" s="403"/>
      <c r="Y22" s="403"/>
      <c r="Z22" s="403"/>
      <c r="AA22" s="403"/>
      <c r="AB22" s="403"/>
      <c r="AC22" s="403"/>
      <c r="AD22" s="403"/>
      <c r="AE22" s="403"/>
      <c r="AF22" s="403"/>
    </row>
    <row r="23" spans="2:42" x14ac:dyDescent="0.25">
      <c r="B23" s="649" t="s">
        <v>500</v>
      </c>
      <c r="C23" s="648">
        <f>C17-C10</f>
        <v>0</v>
      </c>
      <c r="D23" s="648">
        <f t="shared" ref="D23:Y23" si="7">D17-D10</f>
        <v>0</v>
      </c>
      <c r="E23" s="648">
        <f t="shared" si="7"/>
        <v>0</v>
      </c>
      <c r="F23" s="648">
        <f t="shared" si="7"/>
        <v>0</v>
      </c>
      <c r="G23" s="648">
        <f t="shared" si="7"/>
        <v>0</v>
      </c>
      <c r="H23" s="648">
        <f t="shared" si="7"/>
        <v>0</v>
      </c>
      <c r="I23" s="648">
        <f t="shared" si="7"/>
        <v>0</v>
      </c>
      <c r="J23" s="648">
        <f t="shared" si="7"/>
        <v>0</v>
      </c>
      <c r="K23" s="648">
        <f t="shared" si="7"/>
        <v>0</v>
      </c>
      <c r="L23" s="648">
        <f t="shared" si="7"/>
        <v>0</v>
      </c>
      <c r="M23" s="648">
        <f t="shared" si="7"/>
        <v>0</v>
      </c>
      <c r="N23" s="648">
        <f t="shared" si="7"/>
        <v>0</v>
      </c>
      <c r="O23" s="648">
        <f t="shared" si="7"/>
        <v>0</v>
      </c>
      <c r="P23" s="648">
        <f t="shared" si="7"/>
        <v>0</v>
      </c>
      <c r="Q23" s="648">
        <f t="shared" si="7"/>
        <v>0</v>
      </c>
      <c r="R23" s="648">
        <f t="shared" si="7"/>
        <v>0</v>
      </c>
      <c r="S23" s="648">
        <f t="shared" si="7"/>
        <v>0</v>
      </c>
      <c r="T23" s="648">
        <f t="shared" si="7"/>
        <v>0</v>
      </c>
      <c r="U23" s="648">
        <f t="shared" si="7"/>
        <v>0</v>
      </c>
      <c r="V23" s="648">
        <f t="shared" si="7"/>
        <v>0</v>
      </c>
      <c r="W23" s="648">
        <f t="shared" si="7"/>
        <v>-9.3132257461547852E-10</v>
      </c>
      <c r="X23" s="648">
        <f t="shared" si="7"/>
        <v>-2.0372681319713593E-9</v>
      </c>
      <c r="Y23" s="648">
        <f t="shared" si="7"/>
        <v>-1.4842953532934189E-9</v>
      </c>
    </row>
    <row r="24" spans="2:42" x14ac:dyDescent="0.25">
      <c r="C24" s="648"/>
      <c r="D24" s="648"/>
      <c r="E24" s="648"/>
      <c r="F24" s="648"/>
      <c r="G24" s="648"/>
      <c r="H24" s="648"/>
      <c r="I24" s="648"/>
      <c r="J24" s="648"/>
      <c r="K24" s="648"/>
      <c r="L24" s="648"/>
      <c r="M24" s="648"/>
      <c r="N24" s="648"/>
      <c r="O24" s="648"/>
      <c r="P24" s="648"/>
      <c r="Q24" s="648"/>
      <c r="R24" s="648"/>
      <c r="S24" s="648"/>
      <c r="T24" s="648"/>
      <c r="U24" s="648"/>
      <c r="V24" s="648"/>
      <c r="W24" s="648"/>
      <c r="X24" s="648"/>
      <c r="Y24" s="648"/>
    </row>
    <row r="25" spans="2:42" x14ac:dyDescent="0.25">
      <c r="C25" s="648"/>
      <c r="D25" s="648"/>
      <c r="E25" s="648"/>
      <c r="F25" s="648"/>
      <c r="G25" s="648"/>
      <c r="H25" s="648"/>
      <c r="I25" s="648"/>
      <c r="J25" s="648"/>
      <c r="K25" s="648"/>
      <c r="L25" s="648"/>
      <c r="M25" s="648"/>
      <c r="N25" s="648"/>
      <c r="O25" s="648"/>
      <c r="P25" s="648"/>
      <c r="Q25" s="648"/>
      <c r="R25" s="648"/>
      <c r="S25" s="648"/>
      <c r="T25" s="648"/>
      <c r="U25" s="648"/>
      <c r="V25" s="648"/>
      <c r="W25" s="648"/>
      <c r="X25" s="648"/>
      <c r="Y25" s="648"/>
    </row>
    <row r="26" spans="2:42" x14ac:dyDescent="0.25">
      <c r="C26" s="648"/>
    </row>
  </sheetData>
  <mergeCells count="1">
    <mergeCell ref="B6:B7"/>
  </mergeCells>
  <pageMargins left="7.874015748031496E-2" right="7.874015748031496E-2" top="0.59055118110236227" bottom="0.59055118110236227" header="0" footer="7.874015748031496E-2"/>
  <pageSetup paperSize="9" scale="44" orientation="landscape" r:id="rId1"/>
  <headerFooter scaleWithDoc="0" alignWithMargins="0">
    <oddFooter>&amp;CStato patrimoniale - Ipotesi 2&amp;RPag 9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16ADD36B-44FF-4ACA-B69E-D25B1390644A}">
            <xm:f>IN!$C$52</xm:f>
            <x14:dxf>
              <font>
                <color rgb="FF353599"/>
              </font>
            </x14:dxf>
          </x14:cfRule>
          <xm:sqref>Z6:AF6</xm:sqref>
        </x14:conditionalFormatting>
        <x14:conditionalFormatting xmlns:xm="http://schemas.microsoft.com/office/excel/2006/main">
          <x14:cfRule type="cellIs" priority="1" operator="greaterThan" id="{30F00193-5A9B-426C-9923-E7EB6DA75E08}">
            <xm:f>IN!$C$47</xm:f>
            <x14:dxf>
              <font>
                <color rgb="FF353599"/>
              </font>
            </x14:dxf>
          </x14:cfRule>
          <xm:sqref>C7:AF7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2299A-5866-4DAC-AAAB-0853BD03E9E9}">
  <sheetPr codeName="Foglio3"/>
  <dimension ref="A1:K32"/>
  <sheetViews>
    <sheetView zoomScale="85" zoomScaleNormal="85" workbookViewId="0">
      <selection activeCell="C12" sqref="C12"/>
    </sheetView>
  </sheetViews>
  <sheetFormatPr defaultColWidth="9.140625" defaultRowHeight="23.25" customHeight="1" x14ac:dyDescent="0.25"/>
  <cols>
    <col min="1" max="1" width="5.42578125" style="439" customWidth="1"/>
    <col min="2" max="2" width="90.7109375" style="439" customWidth="1"/>
    <col min="3" max="3" width="20.42578125" style="439" customWidth="1"/>
    <col min="4" max="4" width="17.7109375" style="439" customWidth="1"/>
    <col min="5" max="5" width="76.28515625" style="439" bestFit="1" customWidth="1"/>
    <col min="6" max="6" width="16.7109375" style="439" bestFit="1" customWidth="1"/>
    <col min="7" max="7" width="19.42578125" style="439" bestFit="1" customWidth="1"/>
    <col min="8" max="9" width="9.140625" style="439"/>
    <col min="10" max="10" width="16.7109375" style="439" bestFit="1" customWidth="1"/>
    <col min="11" max="11" width="11.7109375" style="439" bestFit="1" customWidth="1"/>
    <col min="12" max="16384" width="9.140625" style="439"/>
  </cols>
  <sheetData>
    <row r="1" spans="1:10" ht="15.75" x14ac:dyDescent="0.25">
      <c r="A1" s="807" t="s">
        <v>302</v>
      </c>
      <c r="B1" s="808"/>
      <c r="C1" s="809"/>
    </row>
    <row r="2" spans="1:10" ht="23.25" customHeight="1" x14ac:dyDescent="0.25">
      <c r="A2" s="442" t="s">
        <v>316</v>
      </c>
      <c r="B2" s="442" t="s">
        <v>303</v>
      </c>
      <c r="C2" s="443"/>
    </row>
    <row r="3" spans="1:10" ht="23.25" customHeight="1" x14ac:dyDescent="0.25">
      <c r="A3" s="444" t="s">
        <v>317</v>
      </c>
      <c r="B3" s="454" t="s">
        <v>291</v>
      </c>
      <c r="C3" s="457">
        <v>4982526</v>
      </c>
    </row>
    <row r="4" spans="1:10" ht="23.25" customHeight="1" x14ac:dyDescent="0.25">
      <c r="A4" s="444" t="s">
        <v>318</v>
      </c>
      <c r="B4" s="454" t="s">
        <v>292</v>
      </c>
      <c r="C4" s="457">
        <v>99650.52</v>
      </c>
    </row>
    <row r="5" spans="1:10" ht="39.6" customHeight="1" x14ac:dyDescent="0.25">
      <c r="A5" s="444"/>
      <c r="B5" s="445" t="s">
        <v>304</v>
      </c>
      <c r="C5" s="458">
        <f>SUM(C3:C4)</f>
        <v>5082176.5199999996</v>
      </c>
    </row>
    <row r="6" spans="1:10" ht="23.25" customHeight="1" x14ac:dyDescent="0.25">
      <c r="A6" s="444"/>
      <c r="B6" s="444"/>
      <c r="C6" s="458"/>
      <c r="E6" s="688"/>
    </row>
    <row r="7" spans="1:10" ht="31.9" customHeight="1" x14ac:dyDescent="0.25">
      <c r="A7" s="442" t="s">
        <v>319</v>
      </c>
      <c r="B7" s="442" t="s">
        <v>305</v>
      </c>
      <c r="C7" s="457"/>
    </row>
    <row r="8" spans="1:10" ht="36.75" customHeight="1" x14ac:dyDescent="0.25">
      <c r="A8" s="444" t="s">
        <v>320</v>
      </c>
      <c r="B8" s="446" t="s">
        <v>288</v>
      </c>
      <c r="C8" s="457">
        <v>116563.15000000001</v>
      </c>
      <c r="D8" s="441"/>
    </row>
    <row r="9" spans="1:10" ht="23.25" customHeight="1" x14ac:dyDescent="0.25">
      <c r="A9" s="444" t="s">
        <v>321</v>
      </c>
      <c r="B9" s="455" t="s">
        <v>308</v>
      </c>
      <c r="C9" s="457">
        <v>186501.04</v>
      </c>
      <c r="D9" s="441"/>
    </row>
    <row r="10" spans="1:10" ht="23.25" customHeight="1" x14ac:dyDescent="0.25">
      <c r="A10" s="444" t="s">
        <v>322</v>
      </c>
      <c r="B10" s="456" t="s">
        <v>293</v>
      </c>
      <c r="C10" s="457">
        <v>69937.89</v>
      </c>
      <c r="D10" s="441"/>
      <c r="J10" s="464"/>
    </row>
    <row r="11" spans="1:10" ht="23.25" customHeight="1" x14ac:dyDescent="0.25">
      <c r="A11" s="444"/>
      <c r="B11" s="445" t="s">
        <v>306</v>
      </c>
      <c r="C11" s="458">
        <f>SUM(C8:C10)</f>
        <v>373002.08</v>
      </c>
      <c r="J11" s="464"/>
    </row>
    <row r="12" spans="1:10" ht="23.25" customHeight="1" x14ac:dyDescent="0.25">
      <c r="A12" s="444"/>
      <c r="B12" s="447"/>
      <c r="C12" s="457"/>
      <c r="J12" s="464"/>
    </row>
    <row r="13" spans="1:10" ht="43.9" customHeight="1" x14ac:dyDescent="0.25">
      <c r="A13" s="448" t="s">
        <v>323</v>
      </c>
      <c r="B13" s="449" t="s">
        <v>307</v>
      </c>
      <c r="C13" s="459"/>
      <c r="J13" s="464"/>
    </row>
    <row r="14" spans="1:10" ht="23.25" customHeight="1" x14ac:dyDescent="0.25">
      <c r="A14" s="450" t="s">
        <v>324</v>
      </c>
      <c r="B14" s="451" t="s">
        <v>312</v>
      </c>
      <c r="C14" s="460">
        <v>60000</v>
      </c>
    </row>
    <row r="15" spans="1:10" ht="39.6" customHeight="1" x14ac:dyDescent="0.25">
      <c r="A15" s="450" t="s">
        <v>325</v>
      </c>
      <c r="B15" s="462" t="s">
        <v>352</v>
      </c>
      <c r="C15" s="460">
        <v>879781.74</v>
      </c>
      <c r="J15" s="466"/>
    </row>
    <row r="16" spans="1:10" ht="30.75" customHeight="1" x14ac:dyDescent="0.25">
      <c r="A16" s="444" t="s">
        <v>326</v>
      </c>
      <c r="B16" s="452" t="s">
        <v>309</v>
      </c>
      <c r="C16" s="457">
        <v>46625.26</v>
      </c>
      <c r="D16" s="441"/>
    </row>
    <row r="17" spans="1:11" ht="23.25" customHeight="1" x14ac:dyDescent="0.25">
      <c r="A17" s="450" t="s">
        <v>327</v>
      </c>
      <c r="B17" s="450" t="s">
        <v>310</v>
      </c>
      <c r="C17" s="457">
        <v>116563.15000000001</v>
      </c>
      <c r="D17" s="441"/>
    </row>
    <row r="18" spans="1:11" ht="23.25" customHeight="1" x14ac:dyDescent="0.25">
      <c r="A18" s="450" t="s">
        <v>328</v>
      </c>
      <c r="B18" s="453" t="s">
        <v>294</v>
      </c>
      <c r="C18" s="457">
        <v>93250.52</v>
      </c>
      <c r="D18" s="441"/>
    </row>
    <row r="19" spans="1:11" ht="23.25" customHeight="1" x14ac:dyDescent="0.25">
      <c r="A19" s="450"/>
      <c r="B19" s="445" t="s">
        <v>311</v>
      </c>
      <c r="C19" s="461">
        <f>SUM(C14:C18)</f>
        <v>1196220.67</v>
      </c>
    </row>
    <row r="20" spans="1:11" ht="23.25" customHeight="1" x14ac:dyDescent="0.25">
      <c r="A20" s="450"/>
      <c r="B20" s="450"/>
      <c r="C20" s="461"/>
    </row>
    <row r="21" spans="1:11" ht="23.25" customHeight="1" x14ac:dyDescent="0.25">
      <c r="A21" s="450"/>
      <c r="B21" s="445" t="s">
        <v>313</v>
      </c>
      <c r="C21" s="461">
        <f>C19+C11+C5</f>
        <v>6651399.2699999996</v>
      </c>
      <c r="E21" s="440"/>
    </row>
    <row r="23" spans="1:11" ht="23.25" customHeight="1" x14ac:dyDescent="0.25">
      <c r="C23" s="440"/>
    </row>
    <row r="24" spans="1:11" ht="23.25" customHeight="1" x14ac:dyDescent="0.25">
      <c r="C24" s="440"/>
    </row>
    <row r="25" spans="1:11" ht="23.25" customHeight="1" x14ac:dyDescent="0.25">
      <c r="C25" s="440"/>
    </row>
    <row r="29" spans="1:11" ht="43.15" customHeight="1" x14ac:dyDescent="0.25">
      <c r="I29" s="465"/>
    </row>
    <row r="31" spans="1:11" ht="38.450000000000003" customHeight="1" x14ac:dyDescent="0.25"/>
    <row r="32" spans="1:11" ht="23.25" customHeight="1" x14ac:dyDescent="0.25">
      <c r="J32" s="463"/>
      <c r="K32" s="464"/>
    </row>
  </sheetData>
  <mergeCells count="1">
    <mergeCell ref="A1:C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197BD-7477-4661-B693-A1A8A0BF3606}">
  <sheetPr codeName="Foglio4"/>
  <dimension ref="A2:M67"/>
  <sheetViews>
    <sheetView topLeftCell="A4" zoomScale="90" zoomScaleNormal="90" workbookViewId="0">
      <selection activeCell="C13" sqref="C13"/>
    </sheetView>
  </sheetViews>
  <sheetFormatPr defaultColWidth="9.140625" defaultRowHeight="15" x14ac:dyDescent="0.25"/>
  <cols>
    <col min="1" max="1" width="9.7109375" style="656" customWidth="1"/>
    <col min="2" max="2" width="29.85546875" style="656" customWidth="1"/>
    <col min="3" max="3" width="15.7109375" style="656" customWidth="1"/>
    <col min="4" max="4" width="34.42578125" style="656" bestFit="1" customWidth="1"/>
    <col min="5" max="5" width="5.7109375" style="656" customWidth="1"/>
    <col min="6" max="6" width="15.7109375" style="656" customWidth="1"/>
    <col min="7" max="16384" width="9.140625" style="656"/>
  </cols>
  <sheetData>
    <row r="2" spans="1:4" x14ac:dyDescent="0.25">
      <c r="A2" s="655" t="s">
        <v>505</v>
      </c>
    </row>
    <row r="4" spans="1:4" x14ac:dyDescent="0.25">
      <c r="A4" s="655" t="s">
        <v>506</v>
      </c>
      <c r="B4" s="656" t="s">
        <v>507</v>
      </c>
    </row>
    <row r="5" spans="1:4" x14ac:dyDescent="0.25">
      <c r="A5" s="655" t="s">
        <v>508</v>
      </c>
      <c r="B5" s="656" t="s">
        <v>509</v>
      </c>
    </row>
    <row r="6" spans="1:4" x14ac:dyDescent="0.25">
      <c r="A6" s="655" t="s">
        <v>49</v>
      </c>
      <c r="B6" s="656" t="s">
        <v>510</v>
      </c>
    </row>
    <row r="7" spans="1:4" x14ac:dyDescent="0.25">
      <c r="A7" s="655" t="s">
        <v>511</v>
      </c>
      <c r="B7" s="656" t="s">
        <v>512</v>
      </c>
    </row>
    <row r="8" spans="1:4" x14ac:dyDescent="0.25">
      <c r="A8" s="655" t="s">
        <v>513</v>
      </c>
      <c r="B8" s="656" t="s">
        <v>514</v>
      </c>
    </row>
    <row r="9" spans="1:4" x14ac:dyDescent="0.25">
      <c r="A9" s="655"/>
      <c r="B9" s="656" t="s">
        <v>515</v>
      </c>
    </row>
    <row r="10" spans="1:4" x14ac:dyDescent="0.25">
      <c r="A10" s="655"/>
    </row>
    <row r="11" spans="1:4" x14ac:dyDescent="0.25">
      <c r="A11" s="657" t="s">
        <v>516</v>
      </c>
      <c r="B11" s="657"/>
      <c r="C11" s="657"/>
      <c r="D11" s="657"/>
    </row>
    <row r="13" spans="1:4" x14ac:dyDescent="0.25">
      <c r="A13" s="655" t="s">
        <v>517</v>
      </c>
      <c r="C13" s="658">
        <v>2025</v>
      </c>
    </row>
    <row r="14" spans="1:4" x14ac:dyDescent="0.25">
      <c r="A14" s="656" t="s">
        <v>518</v>
      </c>
      <c r="B14" s="659" t="s">
        <v>519</v>
      </c>
      <c r="C14" s="660">
        <v>3.56E-2</v>
      </c>
      <c r="D14" s="661" t="s">
        <v>520</v>
      </c>
    </row>
    <row r="15" spans="1:4" x14ac:dyDescent="0.25">
      <c r="A15" s="656" t="s">
        <v>521</v>
      </c>
      <c r="B15" s="659" t="s">
        <v>522</v>
      </c>
      <c r="C15" s="660">
        <v>4.999E-2</v>
      </c>
      <c r="D15" s="661" t="s">
        <v>523</v>
      </c>
    </row>
    <row r="16" spans="1:4" x14ac:dyDescent="0.25">
      <c r="A16" s="662" t="s">
        <v>524</v>
      </c>
      <c r="B16" s="656" t="s">
        <v>525</v>
      </c>
      <c r="C16" s="663">
        <v>0.69310000000000005</v>
      </c>
      <c r="D16" s="661" t="s">
        <v>526</v>
      </c>
    </row>
    <row r="17" spans="1:13" x14ac:dyDescent="0.25">
      <c r="B17" s="655" t="s">
        <v>527</v>
      </c>
      <c r="C17" s="664">
        <f>C14+C15*C16</f>
        <v>7.0248068999999996E-2</v>
      </c>
    </row>
    <row r="18" spans="1:13" x14ac:dyDescent="0.25">
      <c r="A18" s="655"/>
      <c r="B18" s="656" t="s">
        <v>528</v>
      </c>
      <c r="C18" s="665">
        <v>0</v>
      </c>
      <c r="D18" s="666"/>
    </row>
    <row r="19" spans="1:13" x14ac:dyDescent="0.25">
      <c r="A19" s="655"/>
      <c r="B19" s="656" t="s">
        <v>529</v>
      </c>
      <c r="C19" s="660">
        <f>IN!P53</f>
        <v>0.51719999999999999</v>
      </c>
      <c r="D19" s="662" t="s">
        <v>530</v>
      </c>
    </row>
    <row r="20" spans="1:13" x14ac:dyDescent="0.25">
      <c r="A20" s="655"/>
      <c r="B20" s="655" t="s">
        <v>531</v>
      </c>
      <c r="C20" s="664">
        <f>C17*C19</f>
        <v>3.6332301286799998E-2</v>
      </c>
    </row>
    <row r="22" spans="1:13" x14ac:dyDescent="0.25">
      <c r="A22" s="655" t="s">
        <v>532</v>
      </c>
    </row>
    <row r="23" spans="1:13" x14ac:dyDescent="0.25">
      <c r="A23" s="659"/>
      <c r="B23" s="656" t="s">
        <v>533</v>
      </c>
      <c r="C23" s="660">
        <v>3.6700000000000003E-2</v>
      </c>
      <c r="D23" s="662" t="s">
        <v>534</v>
      </c>
    </row>
    <row r="24" spans="1:13" x14ac:dyDescent="0.25">
      <c r="A24" s="659"/>
      <c r="B24" s="659" t="s">
        <v>535</v>
      </c>
      <c r="C24" s="660">
        <v>0.24</v>
      </c>
      <c r="D24" s="662" t="s">
        <v>536</v>
      </c>
    </row>
    <row r="25" spans="1:13" x14ac:dyDescent="0.25">
      <c r="A25" s="659"/>
      <c r="B25" s="667" t="s">
        <v>537</v>
      </c>
      <c r="C25" s="664">
        <f>(C23-(C23*C24))</f>
        <v>2.7892000000000004E-2</v>
      </c>
    </row>
    <row r="26" spans="1:13" x14ac:dyDescent="0.25">
      <c r="B26" s="659" t="s">
        <v>538</v>
      </c>
      <c r="C26" s="668">
        <f>IN!P52</f>
        <v>0.48280000000000001</v>
      </c>
    </row>
    <row r="27" spans="1:13" x14ac:dyDescent="0.25">
      <c r="B27" s="655" t="s">
        <v>539</v>
      </c>
      <c r="C27" s="669">
        <f>(C23*(1-C24))*C26</f>
        <v>1.3466257600000002E-2</v>
      </c>
      <c r="F27" s="669"/>
      <c r="J27" s="666"/>
      <c r="K27" s="666"/>
      <c r="L27" s="666"/>
      <c r="M27" s="666"/>
    </row>
    <row r="28" spans="1:13" x14ac:dyDescent="0.25">
      <c r="B28" s="655"/>
      <c r="C28" s="670"/>
      <c r="F28" s="670"/>
    </row>
    <row r="29" spans="1:13" x14ac:dyDescent="0.25">
      <c r="A29" s="671"/>
      <c r="B29" s="657" t="s">
        <v>540</v>
      </c>
      <c r="C29" s="672">
        <f>ROUND((C20+C27),4)</f>
        <v>4.9799999999999997E-2</v>
      </c>
      <c r="D29" s="673"/>
    </row>
    <row r="30" spans="1:13" x14ac:dyDescent="0.25">
      <c r="A30" s="674"/>
      <c r="B30" s="655"/>
      <c r="C30" s="655"/>
      <c r="F30" s="669"/>
    </row>
    <row r="31" spans="1:13" x14ac:dyDescent="0.25">
      <c r="A31" s="674"/>
      <c r="B31" s="655"/>
      <c r="C31" s="655"/>
      <c r="F31" s="669"/>
    </row>
    <row r="32" spans="1:13" x14ac:dyDescent="0.25">
      <c r="A32" s="674"/>
      <c r="B32" s="655"/>
      <c r="C32" s="655"/>
      <c r="F32" s="669"/>
    </row>
    <row r="33" spans="1:6" x14ac:dyDescent="0.25">
      <c r="A33" s="655"/>
      <c r="F33" s="669"/>
    </row>
    <row r="34" spans="1:6" x14ac:dyDescent="0.25">
      <c r="A34" s="675"/>
      <c r="F34" s="669"/>
    </row>
    <row r="35" spans="1:6" x14ac:dyDescent="0.25">
      <c r="A35" s="674"/>
      <c r="F35" s="669"/>
    </row>
    <row r="36" spans="1:6" x14ac:dyDescent="0.25">
      <c r="A36" s="674"/>
      <c r="F36" s="669"/>
    </row>
    <row r="37" spans="1:6" x14ac:dyDescent="0.25">
      <c r="A37" s="674"/>
      <c r="F37" s="669"/>
    </row>
    <row r="38" spans="1:6" x14ac:dyDescent="0.25">
      <c r="A38" s="674"/>
      <c r="F38" s="669"/>
    </row>
    <row r="39" spans="1:6" x14ac:dyDescent="0.25">
      <c r="A39" s="674"/>
      <c r="F39" s="669"/>
    </row>
    <row r="40" spans="1:6" x14ac:dyDescent="0.25">
      <c r="A40" s="674"/>
      <c r="F40" s="669"/>
    </row>
    <row r="41" spans="1:6" x14ac:dyDescent="0.25">
      <c r="A41" s="674"/>
      <c r="F41" s="669"/>
    </row>
    <row r="42" spans="1:6" x14ac:dyDescent="0.25">
      <c r="A42" s="674"/>
    </row>
    <row r="43" spans="1:6" x14ac:dyDescent="0.25">
      <c r="A43" s="674"/>
    </row>
    <row r="46" spans="1:6" x14ac:dyDescent="0.25">
      <c r="A46" s="655"/>
    </row>
    <row r="49" spans="1:9" x14ac:dyDescent="0.25">
      <c r="A49" s="662"/>
    </row>
    <row r="51" spans="1:9" x14ac:dyDescent="0.25">
      <c r="A51" s="655"/>
    </row>
    <row r="52" spans="1:9" x14ac:dyDescent="0.25">
      <c r="A52" s="655"/>
    </row>
    <row r="53" spans="1:9" x14ac:dyDescent="0.25">
      <c r="A53" s="655"/>
    </row>
    <row r="54" spans="1:9" x14ac:dyDescent="0.25">
      <c r="A54" s="655"/>
    </row>
    <row r="56" spans="1:9" x14ac:dyDescent="0.25">
      <c r="A56" s="655"/>
    </row>
    <row r="57" spans="1:9" x14ac:dyDescent="0.25">
      <c r="A57" s="659"/>
    </row>
    <row r="58" spans="1:9" x14ac:dyDescent="0.25">
      <c r="A58" s="659"/>
      <c r="C58" s="676"/>
      <c r="F58" s="676"/>
    </row>
    <row r="59" spans="1:9" x14ac:dyDescent="0.25">
      <c r="A59" s="659"/>
      <c r="B59" s="659"/>
      <c r="C59" s="676"/>
      <c r="F59" s="676"/>
    </row>
    <row r="60" spans="1:9" x14ac:dyDescent="0.25">
      <c r="A60" s="659"/>
      <c r="B60" s="667"/>
      <c r="C60" s="664"/>
      <c r="F60" s="664"/>
    </row>
    <row r="61" spans="1:9" x14ac:dyDescent="0.25">
      <c r="B61" s="659"/>
      <c r="C61" s="668"/>
      <c r="F61" s="668"/>
    </row>
    <row r="62" spans="1:9" x14ac:dyDescent="0.25">
      <c r="B62" s="655"/>
      <c r="C62" s="669"/>
      <c r="F62" s="669"/>
    </row>
    <row r="63" spans="1:9" x14ac:dyDescent="0.25">
      <c r="B63" s="655"/>
      <c r="C63" s="677"/>
      <c r="F63" s="670"/>
    </row>
    <row r="64" spans="1:9" x14ac:dyDescent="0.25">
      <c r="A64" s="667"/>
      <c r="B64" s="667"/>
      <c r="C64" s="667"/>
      <c r="D64" s="667"/>
      <c r="E64" s="667"/>
      <c r="F64" s="667"/>
      <c r="G64" s="667"/>
      <c r="H64" s="667"/>
      <c r="I64" s="667"/>
    </row>
    <row r="65" spans="1:6" x14ac:dyDescent="0.25">
      <c r="A65" s="655"/>
      <c r="B65" s="655"/>
      <c r="C65" s="655"/>
      <c r="F65" s="669"/>
    </row>
    <row r="66" spans="1:6" x14ac:dyDescent="0.25">
      <c r="A66" s="655"/>
      <c r="B66" s="655"/>
      <c r="C66" s="655"/>
      <c r="F66" s="669"/>
    </row>
    <row r="67" spans="1:6" x14ac:dyDescent="0.25">
      <c r="B67" s="655"/>
      <c r="C67" s="655"/>
      <c r="F67" s="669"/>
    </row>
  </sheetData>
  <pageMargins left="0.75" right="0.75" top="1" bottom="1" header="0.5" footer="0.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8B41D-0E8E-4E13-826E-A5C0CFB699B3}">
  <sheetPr codeName="Foglio10">
    <pageSetUpPr fitToPage="1"/>
  </sheetPr>
  <dimension ref="A1:G51"/>
  <sheetViews>
    <sheetView topLeftCell="A9" zoomScale="130" zoomScaleNormal="130" workbookViewId="0">
      <selection activeCell="G26" sqref="G26"/>
    </sheetView>
  </sheetViews>
  <sheetFormatPr defaultColWidth="43.5703125" defaultRowHeight="11.25" x14ac:dyDescent="0.2"/>
  <cols>
    <col min="1" max="1" width="23" style="474" customWidth="1"/>
    <col min="2" max="2" width="13.42578125" style="474" customWidth="1"/>
    <col min="3" max="3" width="7.28515625" style="474" customWidth="1"/>
    <col min="4" max="4" width="13.140625" style="474" customWidth="1"/>
    <col min="5" max="5" width="7.42578125" style="474" customWidth="1"/>
    <col min="6" max="6" width="14.140625" style="474" customWidth="1"/>
    <col min="7" max="7" width="12.42578125" style="474" bestFit="1" customWidth="1"/>
    <col min="8" max="16384" width="43.5703125" style="474"/>
  </cols>
  <sheetData>
    <row r="1" spans="1:7" ht="21" customHeight="1" x14ac:dyDescent="0.2">
      <c r="A1" s="810" t="s">
        <v>463</v>
      </c>
      <c r="B1" s="811"/>
      <c r="C1" s="811"/>
      <c r="D1" s="811"/>
      <c r="E1" s="811"/>
      <c r="F1" s="811"/>
      <c r="G1" s="812"/>
    </row>
    <row r="2" spans="1:7" ht="12" thickBot="1" x14ac:dyDescent="0.25"/>
    <row r="3" spans="1:7" ht="12.75" x14ac:dyDescent="0.2">
      <c r="A3" s="576" t="s">
        <v>464</v>
      </c>
      <c r="B3" s="577" t="s">
        <v>465</v>
      </c>
      <c r="C3" s="490"/>
      <c r="D3" s="578"/>
      <c r="E3" s="579"/>
      <c r="F3" s="579"/>
      <c r="G3" s="580"/>
    </row>
    <row r="4" spans="1:7" ht="12.75" x14ac:dyDescent="0.2">
      <c r="A4" s="581" t="s">
        <v>94</v>
      </c>
      <c r="B4" s="582"/>
      <c r="D4" s="583"/>
      <c r="E4" s="584"/>
      <c r="F4" s="584"/>
      <c r="G4" s="585"/>
    </row>
    <row r="5" spans="1:7" ht="12.75" x14ac:dyDescent="0.2">
      <c r="A5" s="586" t="s">
        <v>466</v>
      </c>
      <c r="B5" s="587">
        <v>6237</v>
      </c>
      <c r="C5" s="490"/>
      <c r="D5" s="583" t="s">
        <v>467</v>
      </c>
      <c r="E5" s="584"/>
      <c r="F5" s="584"/>
      <c r="G5" s="588">
        <v>25.53</v>
      </c>
    </row>
    <row r="6" spans="1:7" x14ac:dyDescent="0.2">
      <c r="A6" s="586" t="s">
        <v>468</v>
      </c>
      <c r="B6" s="589">
        <v>231</v>
      </c>
      <c r="D6" s="583"/>
      <c r="E6" s="584"/>
      <c r="F6" s="584"/>
      <c r="G6" s="585"/>
    </row>
    <row r="7" spans="1:7" x14ac:dyDescent="0.2">
      <c r="A7" s="581" t="s">
        <v>469</v>
      </c>
      <c r="B7" s="654">
        <v>1E-3</v>
      </c>
      <c r="D7" s="813"/>
      <c r="E7" s="814"/>
      <c r="F7" s="814"/>
      <c r="G7" s="815"/>
    </row>
    <row r="8" spans="1:7" ht="22.5" x14ac:dyDescent="0.2">
      <c r="A8" s="590" t="s">
        <v>470</v>
      </c>
      <c r="B8" s="589">
        <v>3</v>
      </c>
      <c r="D8" s="591"/>
      <c r="E8" s="592"/>
      <c r="F8" s="593"/>
      <c r="G8" s="592" t="s">
        <v>488</v>
      </c>
    </row>
    <row r="9" spans="1:7" ht="12" thickBot="1" x14ac:dyDescent="0.25">
      <c r="A9" s="594"/>
      <c r="B9" s="595"/>
      <c r="D9" s="596"/>
      <c r="E9" s="597"/>
      <c r="F9" s="597"/>
      <c r="G9" s="598"/>
    </row>
    <row r="11" spans="1:7" ht="22.5" x14ac:dyDescent="0.2">
      <c r="A11" s="599" t="s">
        <v>471</v>
      </c>
      <c r="B11" s="600" t="s">
        <v>472</v>
      </c>
      <c r="C11" s="600"/>
      <c r="D11" s="600" t="s">
        <v>473</v>
      </c>
      <c r="E11" s="600"/>
      <c r="F11" s="600" t="s">
        <v>474</v>
      </c>
      <c r="G11" s="601" t="s">
        <v>475</v>
      </c>
    </row>
    <row r="12" spans="1:7" ht="12.75" x14ac:dyDescent="0.2">
      <c r="A12" s="602" t="s">
        <v>476</v>
      </c>
      <c r="B12" s="603"/>
      <c r="C12" s="604"/>
      <c r="D12" s="605"/>
      <c r="E12" s="606"/>
      <c r="F12" s="605"/>
      <c r="G12" s="605"/>
    </row>
    <row r="13" spans="1:7" ht="12.75" x14ac:dyDescent="0.2">
      <c r="A13" s="607" t="s">
        <v>477</v>
      </c>
      <c r="B13" s="603"/>
      <c r="C13" s="604"/>
      <c r="D13" s="605"/>
      <c r="E13" s="606"/>
      <c r="F13" s="605"/>
      <c r="G13" s="605"/>
    </row>
    <row r="14" spans="1:7" ht="12.75" x14ac:dyDescent="0.2">
      <c r="A14" s="607" t="s">
        <v>367</v>
      </c>
      <c r="B14" s="603">
        <v>1591.5500000000002</v>
      </c>
      <c r="C14" s="604"/>
      <c r="D14" s="605">
        <f>'IP servizio'!D6</f>
        <v>40142.1</v>
      </c>
      <c r="E14" s="605">
        <f>ROUND(G14/$B$5,2)</f>
        <v>9.2200000000000006</v>
      </c>
      <c r="F14" s="605">
        <f>'IP servizio'!I6</f>
        <v>17372.355</v>
      </c>
      <c r="G14" s="605">
        <f>+F14+D14</f>
        <v>57514.455000000002</v>
      </c>
    </row>
    <row r="15" spans="1:7" ht="12.75" x14ac:dyDescent="0.2">
      <c r="A15" s="607" t="s">
        <v>368</v>
      </c>
      <c r="B15" s="603">
        <v>2482.11</v>
      </c>
      <c r="C15" s="604"/>
      <c r="D15" s="605">
        <f>'IP servizio'!E6</f>
        <v>62874.770000000004</v>
      </c>
      <c r="E15" s="605">
        <f>ROUND(G15/$B$5,2)</f>
        <v>12.87</v>
      </c>
      <c r="F15" s="605">
        <f>+F14</f>
        <v>17372.355</v>
      </c>
      <c r="G15" s="605">
        <f>+F15+D15</f>
        <v>80247.125</v>
      </c>
    </row>
    <row r="16" spans="1:7" ht="12.75" x14ac:dyDescent="0.2">
      <c r="A16" s="607" t="s">
        <v>369</v>
      </c>
      <c r="B16" s="603">
        <v>2785.56</v>
      </c>
      <c r="C16" s="604"/>
      <c r="D16" s="605">
        <f>'IP servizio'!F6</f>
        <v>53015.85</v>
      </c>
      <c r="E16" s="605">
        <f>ROUND(G16/$B$5,2)</f>
        <v>11.29</v>
      </c>
      <c r="F16" s="605">
        <f>+F15</f>
        <v>17372.355</v>
      </c>
      <c r="G16" s="605">
        <f>+F16+D16</f>
        <v>70388.205000000002</v>
      </c>
    </row>
    <row r="17" spans="1:7" ht="12.75" x14ac:dyDescent="0.2">
      <c r="A17" s="608"/>
      <c r="B17" s="609"/>
      <c r="C17" s="610"/>
      <c r="D17" s="547"/>
      <c r="E17" s="611"/>
      <c r="F17" s="605"/>
      <c r="G17" s="547"/>
    </row>
    <row r="18" spans="1:7" ht="12.75" x14ac:dyDescent="0.2">
      <c r="A18" s="607" t="s">
        <v>478</v>
      </c>
      <c r="B18" s="609"/>
      <c r="C18" s="610"/>
      <c r="D18" s="547"/>
      <c r="E18" s="611"/>
      <c r="F18" s="547"/>
      <c r="G18" s="547"/>
    </row>
    <row r="19" spans="1:7" ht="12.75" x14ac:dyDescent="0.2">
      <c r="A19" s="607" t="s">
        <v>367</v>
      </c>
      <c r="B19" s="609"/>
      <c r="C19" s="610"/>
      <c r="D19" s="547"/>
      <c r="E19" s="605">
        <v>0.65</v>
      </c>
      <c r="F19" s="547"/>
      <c r="G19" s="605">
        <f>B5*E19</f>
        <v>4054.05</v>
      </c>
    </row>
    <row r="20" spans="1:7" ht="12.75" x14ac:dyDescent="0.2">
      <c r="A20" s="607" t="s">
        <v>368</v>
      </c>
      <c r="B20" s="609"/>
      <c r="C20" s="610"/>
      <c r="D20" s="547"/>
      <c r="E20" s="605">
        <v>0.92</v>
      </c>
      <c r="F20" s="547"/>
      <c r="G20" s="605">
        <f>B5*E20</f>
        <v>5738.04</v>
      </c>
    </row>
    <row r="21" spans="1:7" ht="12.75" x14ac:dyDescent="0.2">
      <c r="A21" s="607" t="s">
        <v>369</v>
      </c>
      <c r="B21" s="609"/>
      <c r="C21" s="610"/>
      <c r="D21" s="547"/>
      <c r="E21" s="605">
        <v>1.1599999999999999</v>
      </c>
      <c r="F21" s="547"/>
      <c r="G21" s="605">
        <f>B5*E21</f>
        <v>7234.9199999999992</v>
      </c>
    </row>
    <row r="22" spans="1:7" ht="12.75" x14ac:dyDescent="0.2">
      <c r="A22" s="608"/>
      <c r="B22" s="609"/>
      <c r="C22" s="610"/>
      <c r="D22" s="547"/>
      <c r="E22" s="612"/>
      <c r="F22" s="547"/>
      <c r="G22" s="547"/>
    </row>
    <row r="23" spans="1:7" x14ac:dyDescent="0.2">
      <c r="A23" s="500" t="s">
        <v>479</v>
      </c>
      <c r="B23" s="613" t="s">
        <v>466</v>
      </c>
      <c r="C23" s="512" t="s">
        <v>80</v>
      </c>
      <c r="D23" s="613" t="s">
        <v>480</v>
      </c>
      <c r="E23" s="614"/>
      <c r="F23" s="615" t="s">
        <v>481</v>
      </c>
      <c r="G23" s="616"/>
    </row>
    <row r="24" spans="1:7" x14ac:dyDescent="0.2">
      <c r="A24" s="613" t="s">
        <v>482</v>
      </c>
      <c r="B24" s="613"/>
      <c r="C24" s="512"/>
      <c r="D24" s="613"/>
      <c r="E24" s="617"/>
      <c r="F24" s="615"/>
      <c r="G24" s="616"/>
    </row>
    <row r="25" spans="1:7" x14ac:dyDescent="0.2">
      <c r="A25" s="618" t="s">
        <v>483</v>
      </c>
      <c r="B25" s="549"/>
      <c r="C25" s="619">
        <v>0.1</v>
      </c>
      <c r="D25" s="620">
        <f>+G14</f>
        <v>57514.455000000002</v>
      </c>
      <c r="E25" s="549"/>
      <c r="F25" s="549"/>
      <c r="G25" s="616">
        <f>ROUND(D25*C25,2)</f>
        <v>5751.45</v>
      </c>
    </row>
    <row r="26" spans="1:7" x14ac:dyDescent="0.2">
      <c r="A26" s="618" t="s">
        <v>356</v>
      </c>
      <c r="B26" s="621">
        <f>+B5</f>
        <v>6237</v>
      </c>
      <c r="C26" s="619">
        <v>0.1</v>
      </c>
      <c r="D26" s="622">
        <f>ROUND(C26*B26,0)</f>
        <v>624</v>
      </c>
      <c r="E26" s="623"/>
      <c r="F26" s="616">
        <v>4</v>
      </c>
      <c r="G26" s="616">
        <f>ROUND(F26*D26,2)</f>
        <v>2496</v>
      </c>
    </row>
    <row r="27" spans="1:7" x14ac:dyDescent="0.2">
      <c r="A27" s="618" t="s">
        <v>484</v>
      </c>
      <c r="B27" s="621">
        <f>+B5</f>
        <v>6237</v>
      </c>
      <c r="C27" s="619"/>
      <c r="D27" s="549"/>
      <c r="E27" s="623"/>
      <c r="F27" s="616">
        <v>0.5</v>
      </c>
      <c r="G27" s="616">
        <f>+ROUND(F27*B27,2)</f>
        <v>3118.5</v>
      </c>
    </row>
    <row r="28" spans="1:7" x14ac:dyDescent="0.2">
      <c r="A28" s="618" t="s">
        <v>358</v>
      </c>
      <c r="B28" s="621">
        <f>+B5</f>
        <v>6237</v>
      </c>
      <c r="C28" s="619"/>
      <c r="D28" s="549"/>
      <c r="E28" s="623"/>
      <c r="F28" s="616">
        <v>2</v>
      </c>
      <c r="G28" s="616">
        <f>+ROUND(F28*B28,2)</f>
        <v>12474</v>
      </c>
    </row>
    <row r="29" spans="1:7" x14ac:dyDescent="0.2">
      <c r="A29" s="618" t="s">
        <v>359</v>
      </c>
      <c r="B29" s="621">
        <f>+B5</f>
        <v>6237</v>
      </c>
      <c r="C29" s="619"/>
      <c r="D29" s="616"/>
      <c r="E29" s="619"/>
      <c r="F29" s="616">
        <v>0.5</v>
      </c>
      <c r="G29" s="610">
        <f>+ROUND(F29*B29,2)</f>
        <v>3118.5</v>
      </c>
    </row>
    <row r="30" spans="1:7" x14ac:dyDescent="0.2">
      <c r="A30" s="624"/>
      <c r="B30" s="625"/>
      <c r="C30" s="626"/>
      <c r="D30" s="626"/>
      <c r="E30" s="626"/>
      <c r="F30" s="627"/>
      <c r="G30" s="610"/>
    </row>
    <row r="31" spans="1:7" x14ac:dyDescent="0.2">
      <c r="A31" s="482" t="s">
        <v>485</v>
      </c>
      <c r="B31" s="482"/>
      <c r="C31" s="482"/>
      <c r="D31" s="482"/>
      <c r="E31" s="628">
        <f>ROUND(G31/$B$5,2)</f>
        <v>4.32</v>
      </c>
      <c r="F31" s="482"/>
      <c r="G31" s="629">
        <f>SUM(G25:G30)</f>
        <v>26958.45</v>
      </c>
    </row>
    <row r="32" spans="1:7" ht="15" x14ac:dyDescent="0.25">
      <c r="A32" s="572"/>
      <c r="B32" s="572"/>
      <c r="C32" s="572"/>
      <c r="D32" s="572"/>
      <c r="E32" s="572"/>
      <c r="F32" s="572"/>
      <c r="G32" s="572"/>
    </row>
    <row r="33" spans="1:7" ht="16.5" customHeight="1" x14ac:dyDescent="0.2">
      <c r="A33" s="630" t="s">
        <v>486</v>
      </c>
      <c r="B33" s="631" t="s">
        <v>487</v>
      </c>
      <c r="C33" s="632">
        <f>B8</f>
        <v>3</v>
      </c>
      <c r="D33" s="633"/>
      <c r="E33" s="634">
        <f>ROUND(G33/$B$5,2)</f>
        <v>16.77</v>
      </c>
      <c r="F33" s="482"/>
      <c r="G33" s="635">
        <f>IF(C33=1,G14+G19+G31,IF(C33=2,G15+G20+G31,IF(C33=3,G16+G21+G31,)))</f>
        <v>104581.575</v>
      </c>
    </row>
    <row r="34" spans="1:7" ht="15" x14ac:dyDescent="0.25">
      <c r="A34" s="572"/>
      <c r="B34" s="572"/>
      <c r="C34" s="572"/>
      <c r="D34" s="572"/>
      <c r="E34" s="572"/>
      <c r="F34" s="572"/>
      <c r="G34" s="572"/>
    </row>
    <row r="35" spans="1:7" ht="15" x14ac:dyDescent="0.25">
      <c r="A35" s="572"/>
      <c r="B35" s="572"/>
      <c r="C35" s="636"/>
      <c r="E35" s="572"/>
      <c r="F35" s="572"/>
      <c r="G35" s="637"/>
    </row>
    <row r="36" spans="1:7" ht="15" x14ac:dyDescent="0.25">
      <c r="A36" s="572"/>
      <c r="B36" s="572"/>
      <c r="E36" s="572"/>
      <c r="F36" s="638"/>
    </row>
    <row r="37" spans="1:7" ht="15" x14ac:dyDescent="0.25">
      <c r="A37" s="572"/>
      <c r="B37" s="572"/>
      <c r="C37" s="639"/>
      <c r="D37" s="640"/>
      <c r="E37" s="572"/>
      <c r="F37" s="641"/>
      <c r="G37" s="642"/>
    </row>
    <row r="38" spans="1:7" ht="15" x14ac:dyDescent="0.25">
      <c r="A38" s="572"/>
      <c r="B38" s="572"/>
      <c r="C38" s="643"/>
      <c r="D38" s="644"/>
      <c r="E38" s="572"/>
      <c r="F38" s="641"/>
      <c r="G38" s="642"/>
    </row>
    <row r="39" spans="1:7" ht="15" x14ac:dyDescent="0.25">
      <c r="A39" s="572"/>
      <c r="B39" s="572"/>
      <c r="C39" s="643"/>
      <c r="D39" s="644"/>
      <c r="E39" s="572"/>
      <c r="F39" s="641"/>
      <c r="G39" s="642"/>
    </row>
    <row r="40" spans="1:7" ht="15" x14ac:dyDescent="0.25">
      <c r="A40" s="572"/>
      <c r="B40" s="572"/>
      <c r="C40" s="643"/>
      <c r="D40" s="644"/>
      <c r="E40" s="572"/>
      <c r="F40" s="641"/>
      <c r="G40" s="642"/>
    </row>
    <row r="41" spans="1:7" ht="15" x14ac:dyDescent="0.25">
      <c r="A41" s="572"/>
      <c r="B41" s="572"/>
      <c r="C41" s="572"/>
      <c r="D41" s="572"/>
      <c r="E41" s="572"/>
      <c r="F41" s="572"/>
      <c r="G41" s="645"/>
    </row>
    <row r="42" spans="1:7" ht="15" x14ac:dyDescent="0.25">
      <c r="A42" s="572"/>
      <c r="B42" s="572"/>
      <c r="C42" s="572"/>
      <c r="D42" s="572"/>
      <c r="E42" s="572"/>
      <c r="F42" s="572"/>
      <c r="G42" s="572"/>
    </row>
    <row r="43" spans="1:7" ht="15" x14ac:dyDescent="0.25">
      <c r="A43" s="572"/>
      <c r="B43" s="572"/>
      <c r="C43" s="572"/>
      <c r="D43" s="572"/>
      <c r="E43" s="572"/>
      <c r="F43" s="641"/>
      <c r="G43" s="641"/>
    </row>
    <row r="44" spans="1:7" ht="15" x14ac:dyDescent="0.25">
      <c r="A44" s="572"/>
      <c r="B44" s="572"/>
      <c r="C44" s="572"/>
      <c r="D44" s="572"/>
      <c r="E44" s="572"/>
      <c r="F44" s="641"/>
      <c r="G44" s="641"/>
    </row>
    <row r="45" spans="1:7" ht="15" x14ac:dyDescent="0.25">
      <c r="A45" s="572"/>
      <c r="B45" s="572"/>
      <c r="C45" s="572"/>
      <c r="D45" s="572"/>
      <c r="E45" s="572"/>
      <c r="F45" s="641"/>
      <c r="G45" s="641"/>
    </row>
    <row r="46" spans="1:7" ht="15" x14ac:dyDescent="0.25">
      <c r="A46" s="572"/>
      <c r="B46" s="572"/>
      <c r="C46" s="572"/>
      <c r="D46" s="572"/>
      <c r="E46" s="572"/>
      <c r="F46" s="572"/>
      <c r="G46" s="645"/>
    </row>
    <row r="47" spans="1:7" ht="15" x14ac:dyDescent="0.25">
      <c r="A47" s="572"/>
      <c r="B47" s="572"/>
      <c r="C47" s="572"/>
      <c r="D47" s="572"/>
      <c r="E47" s="572"/>
      <c r="F47" s="572"/>
      <c r="G47" s="572"/>
    </row>
    <row r="48" spans="1:7" ht="15" x14ac:dyDescent="0.25">
      <c r="A48" s="572"/>
      <c r="B48" s="572"/>
      <c r="C48" s="572"/>
      <c r="D48" s="572"/>
      <c r="E48" s="572"/>
      <c r="F48" s="572"/>
      <c r="G48" s="572"/>
    </row>
    <row r="49" spans="1:7" ht="12.75" x14ac:dyDescent="0.2">
      <c r="A49" s="490"/>
      <c r="B49" s="490"/>
      <c r="C49" s="490"/>
      <c r="D49" s="490"/>
      <c r="E49" s="490"/>
      <c r="F49" s="490"/>
      <c r="G49" s="490"/>
    </row>
    <row r="50" spans="1:7" ht="12.75" x14ac:dyDescent="0.2">
      <c r="A50" s="490"/>
      <c r="B50" s="490"/>
      <c r="C50" s="490"/>
      <c r="D50" s="490"/>
      <c r="E50" s="490"/>
      <c r="F50" s="490"/>
      <c r="G50" s="490"/>
    </row>
    <row r="51" spans="1:7" ht="12.75" x14ac:dyDescent="0.2">
      <c r="A51" s="490"/>
      <c r="B51" s="490"/>
      <c r="C51" s="490"/>
      <c r="D51" s="490"/>
      <c r="E51" s="490"/>
      <c r="F51" s="490"/>
      <c r="G51" s="490"/>
    </row>
  </sheetData>
  <mergeCells count="2">
    <mergeCell ref="A1:G1"/>
    <mergeCell ref="D7:G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&amp;C&amp;"-,Grassetto"&amp;14Comune di Ferrara&amp;"-,Normale"&amp;11
Analisi Interventi IP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FBF21-D856-4D2F-93E6-0162CB835731}">
  <sheetPr codeName="Foglio11">
    <pageSetUpPr fitToPage="1"/>
  </sheetPr>
  <dimension ref="A1:M220"/>
  <sheetViews>
    <sheetView workbookViewId="0">
      <selection activeCell="G19" sqref="G19"/>
    </sheetView>
  </sheetViews>
  <sheetFormatPr defaultColWidth="9.140625" defaultRowHeight="11.25" x14ac:dyDescent="0.2"/>
  <cols>
    <col min="1" max="1" width="26.28515625" style="474" customWidth="1"/>
    <col min="2" max="2" width="9.5703125" style="474" bestFit="1" customWidth="1"/>
    <col min="3" max="3" width="16.140625" style="474" bestFit="1" customWidth="1"/>
    <col min="4" max="6" width="20.140625" style="474" customWidth="1"/>
    <col min="7" max="7" width="26.7109375" style="474" customWidth="1"/>
    <col min="8" max="8" width="12.5703125" style="575" customWidth="1"/>
    <col min="9" max="9" width="15.140625" style="474" bestFit="1" customWidth="1"/>
    <col min="10" max="10" width="4.28515625" style="474" customWidth="1"/>
    <col min="11" max="11" width="9.42578125" style="474" bestFit="1" customWidth="1"/>
    <col min="12" max="16384" width="9.140625" style="474"/>
  </cols>
  <sheetData>
    <row r="1" spans="1:12" ht="27" customHeight="1" x14ac:dyDescent="0.2">
      <c r="A1" s="817" t="s">
        <v>361</v>
      </c>
      <c r="B1" s="817"/>
      <c r="C1" s="817"/>
      <c r="D1" s="817"/>
      <c r="E1" s="817"/>
      <c r="F1" s="817"/>
      <c r="G1" s="817"/>
      <c r="H1" s="817"/>
      <c r="I1" s="817"/>
      <c r="J1" s="473"/>
    </row>
    <row r="2" spans="1:12" ht="27" customHeight="1" x14ac:dyDescent="0.2">
      <c r="A2" s="475"/>
      <c r="B2" s="475"/>
      <c r="C2" s="476" t="s">
        <v>362</v>
      </c>
      <c r="D2" s="818" t="s">
        <v>363</v>
      </c>
      <c r="E2" s="818"/>
      <c r="F2" s="818"/>
      <c r="G2" s="819"/>
      <c r="H2" s="821" t="s">
        <v>364</v>
      </c>
      <c r="I2" s="477" t="s">
        <v>365</v>
      </c>
      <c r="J2" s="478"/>
    </row>
    <row r="3" spans="1:12" ht="33.75" x14ac:dyDescent="0.2">
      <c r="A3" s="479"/>
      <c r="B3" s="479"/>
      <c r="C3" s="480" t="s">
        <v>366</v>
      </c>
      <c r="D3" s="481" t="s">
        <v>367</v>
      </c>
      <c r="E3" s="481" t="s">
        <v>368</v>
      </c>
      <c r="F3" s="481" t="s">
        <v>369</v>
      </c>
      <c r="G3" s="820"/>
      <c r="H3" s="822"/>
      <c r="I3" s="482"/>
    </row>
    <row r="4" spans="1:12" ht="11.25" customHeight="1" x14ac:dyDescent="0.2">
      <c r="A4" s="483"/>
      <c r="B4" s="483"/>
      <c r="C4" s="480" t="s">
        <v>370</v>
      </c>
      <c r="D4" s="484"/>
      <c r="E4" s="484"/>
      <c r="F4" s="484"/>
      <c r="G4" s="485"/>
      <c r="H4" s="486" t="s">
        <v>371</v>
      </c>
      <c r="I4" s="487"/>
      <c r="J4" s="488"/>
    </row>
    <row r="5" spans="1:12" ht="12.75" x14ac:dyDescent="0.2">
      <c r="A5" s="489"/>
      <c r="B5" s="489"/>
      <c r="C5" s="489"/>
      <c r="D5" s="490"/>
      <c r="E5" s="490"/>
      <c r="F5" s="490"/>
      <c r="G5" s="490"/>
      <c r="H5" s="490"/>
      <c r="I5" s="490"/>
      <c r="J5" s="490"/>
    </row>
    <row r="6" spans="1:12" x14ac:dyDescent="0.2">
      <c r="A6" s="491" t="s">
        <v>372</v>
      </c>
      <c r="B6" s="491"/>
      <c r="C6" s="492"/>
      <c r="D6" s="493">
        <f t="shared" ref="D6:F7" si="0">+D9+D12+D15</f>
        <v>40142.1</v>
      </c>
      <c r="E6" s="493">
        <f t="shared" si="0"/>
        <v>62874.770000000004</v>
      </c>
      <c r="F6" s="493">
        <f t="shared" si="0"/>
        <v>53015.85</v>
      </c>
      <c r="G6" s="472"/>
      <c r="H6" s="494"/>
      <c r="I6" s="495">
        <f>SUM(I9:I15)</f>
        <v>17372.355</v>
      </c>
      <c r="J6" s="496"/>
    </row>
    <row r="7" spans="1:12" x14ac:dyDescent="0.2">
      <c r="A7" s="491" t="s">
        <v>373</v>
      </c>
      <c r="B7" s="491"/>
      <c r="C7" s="492"/>
      <c r="D7" s="497">
        <f t="shared" si="0"/>
        <v>1572.35</v>
      </c>
      <c r="E7" s="497">
        <f t="shared" si="0"/>
        <v>2462.7800000000002</v>
      </c>
      <c r="F7" s="497">
        <f t="shared" si="0"/>
        <v>2076.61</v>
      </c>
      <c r="G7" s="472"/>
      <c r="H7" s="494"/>
      <c r="I7" s="495"/>
      <c r="J7" s="496"/>
      <c r="K7" s="498"/>
      <c r="L7" s="498"/>
    </row>
    <row r="8" spans="1:12" x14ac:dyDescent="0.2">
      <c r="A8" s="499"/>
      <c r="B8" s="499"/>
      <c r="C8" s="500"/>
      <c r="D8" s="500"/>
      <c r="E8" s="500"/>
      <c r="F8" s="500"/>
      <c r="G8" s="501"/>
      <c r="H8" s="502"/>
      <c r="I8" s="503"/>
      <c r="J8" s="496"/>
    </row>
    <row r="9" spans="1:12" x14ac:dyDescent="0.2">
      <c r="A9" s="504" t="s">
        <v>374</v>
      </c>
      <c r="B9" s="504"/>
      <c r="C9" s="505"/>
      <c r="D9" s="506">
        <f>ROUND(D10*'Riepilogo Servizio'!$G$5,2)</f>
        <v>2064.1</v>
      </c>
      <c r="E9" s="505">
        <f>ROUND(E10*'Riepilogo Servizio'!$G$5,2)</f>
        <v>4496.8500000000004</v>
      </c>
      <c r="F9" s="505">
        <f>ROUND(F10*'Riepilogo Servizio'!$G$5,2)</f>
        <v>3258.39</v>
      </c>
      <c r="G9" s="507"/>
      <c r="H9" s="508"/>
      <c r="I9" s="509">
        <f>+I22</f>
        <v>2310</v>
      </c>
      <c r="J9" s="510"/>
    </row>
    <row r="10" spans="1:12" x14ac:dyDescent="0.2">
      <c r="A10" s="499" t="s">
        <v>375</v>
      </c>
      <c r="B10" s="499"/>
      <c r="C10" s="500"/>
      <c r="D10" s="511">
        <f>(ROUND(SUMPRODUCT(D23:D60,$H$23:$H$60)*(1-'IP servizio'!$D$19)/60,2))</f>
        <v>80.849999999999994</v>
      </c>
      <c r="E10" s="511">
        <f>(ROUND(SUMPRODUCT(E23:E60,$H$23:$H$60)*(1-'IP servizio'!$E$19)/60,2))</f>
        <v>176.14</v>
      </c>
      <c r="F10" s="511">
        <f>(ROUND(SUMPRODUCT(F23:F60,$H$23:$H$60)*(1-'IP servizio'!$F$19)/60,2))</f>
        <v>127.63</v>
      </c>
      <c r="G10" s="501"/>
      <c r="H10" s="512"/>
      <c r="I10" s="513"/>
      <c r="J10" s="510"/>
    </row>
    <row r="11" spans="1:12" x14ac:dyDescent="0.2">
      <c r="A11" s="499"/>
      <c r="B11" s="499"/>
      <c r="C11" s="500"/>
      <c r="D11" s="500"/>
      <c r="E11" s="500"/>
      <c r="F11" s="500"/>
      <c r="G11" s="501"/>
      <c r="H11" s="512"/>
      <c r="I11" s="513"/>
      <c r="J11" s="510"/>
    </row>
    <row r="12" spans="1:12" x14ac:dyDescent="0.2">
      <c r="A12" s="504" t="s">
        <v>376</v>
      </c>
      <c r="B12" s="504"/>
      <c r="C12" s="505"/>
      <c r="D12" s="506">
        <f>ROUND(D13*'Riepilogo Servizio'!$G$5,2)</f>
        <v>30837.69</v>
      </c>
      <c r="E12" s="506">
        <f>ROUND(E13*'Riepilogo Servizio'!$G$5,2)</f>
        <v>52171.83</v>
      </c>
      <c r="F12" s="506">
        <f>ROUND(F13*'Riepilogo Servizio'!$G$5,2)</f>
        <v>46654.54</v>
      </c>
      <c r="G12" s="507"/>
      <c r="H12" s="508"/>
      <c r="I12" s="509">
        <f>+I64</f>
        <v>0</v>
      </c>
      <c r="J12" s="510"/>
    </row>
    <row r="13" spans="1:12" x14ac:dyDescent="0.2">
      <c r="A13" s="499" t="s">
        <v>377</v>
      </c>
      <c r="B13" s="499"/>
      <c r="C13" s="500"/>
      <c r="D13" s="511">
        <f>ROUND(SUMPRODUCT(D65:D90,$H$65:$H$90)*(1-'IP servizio'!$D$19)/60,2)</f>
        <v>1207.9000000000001</v>
      </c>
      <c r="E13" s="511">
        <f>ROUND(SUMPRODUCT(E65:E90,$H$65:$H$90)*(1-'IP servizio'!$E$19)/60,2)</f>
        <v>2043.55</v>
      </c>
      <c r="F13" s="511">
        <f>ROUND(SUMPRODUCT(F65:F90,$H$65:$H$90)*(1-'IP servizio'!$F$19)/60,2)</f>
        <v>1827.44</v>
      </c>
      <c r="G13" s="501"/>
      <c r="H13" s="512"/>
      <c r="I13" s="513"/>
      <c r="J13" s="510"/>
    </row>
    <row r="14" spans="1:12" x14ac:dyDescent="0.2">
      <c r="A14" s="499"/>
      <c r="B14" s="499"/>
      <c r="C14" s="500"/>
      <c r="D14" s="500"/>
      <c r="E14" s="500"/>
      <c r="F14" s="500"/>
      <c r="G14" s="501"/>
      <c r="H14" s="512"/>
      <c r="I14" s="513"/>
      <c r="J14" s="510"/>
    </row>
    <row r="15" spans="1:12" x14ac:dyDescent="0.2">
      <c r="A15" s="504" t="s">
        <v>378</v>
      </c>
      <c r="B15" s="504"/>
      <c r="C15" s="505"/>
      <c r="D15" s="506">
        <f>ROUND(D16*'Riepilogo Servizio'!$G$5,2)</f>
        <v>7240.31</v>
      </c>
      <c r="E15" s="506">
        <f>ROUND(E16*'Riepilogo Servizio'!$G$5,2)</f>
        <v>6206.09</v>
      </c>
      <c r="F15" s="506">
        <f>ROUND(F16*'Riepilogo Servizio'!$G$5,2)</f>
        <v>3102.92</v>
      </c>
      <c r="G15" s="507"/>
      <c r="H15" s="508"/>
      <c r="I15" s="509">
        <f>+I96</f>
        <v>15062.355</v>
      </c>
      <c r="J15" s="510"/>
    </row>
    <row r="16" spans="1:12" x14ac:dyDescent="0.2">
      <c r="A16" s="499" t="s">
        <v>379</v>
      </c>
      <c r="B16" s="499"/>
      <c r="C16" s="500"/>
      <c r="D16" s="511">
        <f>ROUND(SUMPRODUCT(D97,$H$97)*(1-'IP servizio'!$D$19)/60,2)</f>
        <v>283.60000000000002</v>
      </c>
      <c r="E16" s="511">
        <f>ROUND(SUMPRODUCT(E97,$H$97)*(1-'IP servizio'!$E$19)/60,2)</f>
        <v>243.09</v>
      </c>
      <c r="F16" s="511">
        <f>ROUND(SUMPRODUCT(F97,$H$97)*(1-'IP servizio'!$F$19)/60,2)</f>
        <v>121.54</v>
      </c>
      <c r="G16" s="501"/>
      <c r="H16" s="512"/>
      <c r="I16" s="513"/>
      <c r="J16" s="510"/>
    </row>
    <row r="17" spans="1:13" ht="12.75" x14ac:dyDescent="0.2">
      <c r="A17" s="514"/>
      <c r="B17" s="514"/>
      <c r="C17" s="515"/>
      <c r="D17" s="490"/>
      <c r="E17" s="490"/>
      <c r="F17" s="490"/>
      <c r="G17" s="490"/>
      <c r="H17" s="490"/>
      <c r="I17" s="490"/>
      <c r="J17" s="490"/>
    </row>
    <row r="18" spans="1:13" ht="12.75" x14ac:dyDescent="0.2">
      <c r="A18" s="823" t="s">
        <v>380</v>
      </c>
      <c r="B18" s="824"/>
      <c r="C18" s="824"/>
      <c r="D18" s="824"/>
      <c r="E18" s="824"/>
      <c r="F18" s="825"/>
      <c r="G18" s="490"/>
      <c r="H18" s="490"/>
      <c r="I18" s="490"/>
      <c r="J18" s="490"/>
    </row>
    <row r="19" spans="1:13" ht="12.75" x14ac:dyDescent="0.2">
      <c r="A19" s="516" t="s">
        <v>381</v>
      </c>
      <c r="B19" s="516"/>
      <c r="C19" s="516"/>
      <c r="D19" s="517">
        <v>0.3</v>
      </c>
      <c r="E19" s="517">
        <v>0.4</v>
      </c>
      <c r="F19" s="517">
        <v>0.7</v>
      </c>
      <c r="G19" s="490"/>
      <c r="H19" s="490"/>
      <c r="I19" s="490"/>
      <c r="J19" s="490"/>
    </row>
    <row r="20" spans="1:13" ht="12.75" x14ac:dyDescent="0.2">
      <c r="A20" s="518"/>
      <c r="B20" s="518"/>
      <c r="C20" s="516"/>
      <c r="D20" s="517"/>
      <c r="E20" s="519"/>
      <c r="F20" s="519"/>
      <c r="G20" s="490"/>
      <c r="H20" s="490"/>
      <c r="I20" s="490"/>
      <c r="J20" s="490"/>
    </row>
    <row r="21" spans="1:13" ht="13.5" thickBot="1" x14ac:dyDescent="0.25">
      <c r="A21" s="514"/>
      <c r="B21" s="514"/>
      <c r="C21" s="515"/>
      <c r="D21" s="490"/>
      <c r="E21" s="490"/>
      <c r="F21" s="490"/>
      <c r="G21" s="490"/>
      <c r="H21" s="490"/>
      <c r="I21" s="490"/>
      <c r="J21" s="490"/>
    </row>
    <row r="22" spans="1:13" ht="34.5" thickBot="1" x14ac:dyDescent="0.25">
      <c r="A22" s="520" t="s">
        <v>382</v>
      </c>
      <c r="B22" s="521"/>
      <c r="C22" s="522" t="s">
        <v>383</v>
      </c>
      <c r="D22" s="523" t="s">
        <v>384</v>
      </c>
      <c r="E22" s="523" t="s">
        <v>384</v>
      </c>
      <c r="F22" s="523" t="s">
        <v>384</v>
      </c>
      <c r="G22" s="522" t="s">
        <v>385</v>
      </c>
      <c r="H22" s="522" t="s">
        <v>364</v>
      </c>
      <c r="I22" s="524">
        <f>SUM(I23:I60)</f>
        <v>2310</v>
      </c>
      <c r="J22" s="525"/>
    </row>
    <row r="23" spans="1:13" ht="41.25" customHeight="1" x14ac:dyDescent="0.2">
      <c r="A23" s="526" t="s">
        <v>386</v>
      </c>
      <c r="B23" s="526"/>
      <c r="C23" s="527">
        <f>SUM(C25)</f>
        <v>5</v>
      </c>
      <c r="D23" s="528">
        <f>SUMPRODUCT($B$25,$C$25,D25)</f>
        <v>5</v>
      </c>
      <c r="E23" s="528">
        <f>SUMPRODUCT($B$25,$C$25,E25)</f>
        <v>30</v>
      </c>
      <c r="F23" s="528">
        <f>SUMPRODUCT($B$25,$C$25,F25)</f>
        <v>30</v>
      </c>
      <c r="G23" s="529"/>
      <c r="H23" s="527">
        <f>'Riepilogo Servizio'!B6</f>
        <v>231</v>
      </c>
      <c r="I23" s="530"/>
      <c r="J23" s="531"/>
      <c r="K23" s="481" t="s">
        <v>367</v>
      </c>
      <c r="L23" s="481" t="s">
        <v>368</v>
      </c>
      <c r="M23" s="481" t="s">
        <v>369</v>
      </c>
    </row>
    <row r="24" spans="1:13" ht="41.25" customHeight="1" x14ac:dyDescent="0.2">
      <c r="A24" s="532"/>
      <c r="B24" s="533" t="s">
        <v>387</v>
      </c>
      <c r="C24" s="533" t="s">
        <v>383</v>
      </c>
      <c r="D24" s="534" t="s">
        <v>388</v>
      </c>
      <c r="E24" s="534" t="s">
        <v>388</v>
      </c>
      <c r="F24" s="534" t="s">
        <v>388</v>
      </c>
      <c r="G24" s="535"/>
      <c r="H24" s="536"/>
      <c r="I24" s="537"/>
      <c r="J24" s="531"/>
      <c r="K24" s="816" t="s">
        <v>389</v>
      </c>
      <c r="L24" s="816"/>
      <c r="M24" s="816"/>
    </row>
    <row r="25" spans="1:13" ht="34.5" customHeight="1" x14ac:dyDescent="0.2">
      <c r="A25" s="538" t="s">
        <v>390</v>
      </c>
      <c r="B25" s="827">
        <v>1</v>
      </c>
      <c r="C25" s="830">
        <v>5</v>
      </c>
      <c r="D25" s="831">
        <v>1</v>
      </c>
      <c r="E25" s="831">
        <v>6</v>
      </c>
      <c r="F25" s="831">
        <v>6</v>
      </c>
      <c r="G25" s="827" t="s">
        <v>391</v>
      </c>
      <c r="H25" s="831"/>
      <c r="I25" s="831"/>
      <c r="J25" s="541"/>
      <c r="K25" s="834">
        <f>1/D25</f>
        <v>1</v>
      </c>
      <c r="L25" s="834">
        <f>1/E25</f>
        <v>0.16666666666666666</v>
      </c>
      <c r="M25" s="834">
        <f>1/F25</f>
        <v>0.16666666666666666</v>
      </c>
    </row>
    <row r="26" spans="1:13" ht="37.5" customHeight="1" x14ac:dyDescent="0.2">
      <c r="A26" s="538" t="s">
        <v>392</v>
      </c>
      <c r="B26" s="828"/>
      <c r="C26" s="830"/>
      <c r="D26" s="832"/>
      <c r="E26" s="832"/>
      <c r="F26" s="832"/>
      <c r="G26" s="828"/>
      <c r="H26" s="832"/>
      <c r="I26" s="832"/>
      <c r="J26" s="541"/>
      <c r="K26" s="834"/>
      <c r="L26" s="834"/>
      <c r="M26" s="834"/>
    </row>
    <row r="27" spans="1:13" ht="42.75" customHeight="1" x14ac:dyDescent="0.2">
      <c r="A27" s="538" t="s">
        <v>393</v>
      </c>
      <c r="B27" s="828"/>
      <c r="C27" s="830"/>
      <c r="D27" s="832"/>
      <c r="E27" s="832"/>
      <c r="F27" s="832"/>
      <c r="G27" s="828"/>
      <c r="H27" s="832"/>
      <c r="I27" s="832"/>
      <c r="J27" s="541"/>
      <c r="K27" s="834"/>
      <c r="L27" s="834"/>
      <c r="M27" s="834"/>
    </row>
    <row r="28" spans="1:13" x14ac:dyDescent="0.2">
      <c r="A28" s="543" t="s">
        <v>394</v>
      </c>
      <c r="B28" s="829"/>
      <c r="C28" s="827"/>
      <c r="D28" s="833"/>
      <c r="E28" s="833"/>
      <c r="F28" s="833"/>
      <c r="G28" s="828"/>
      <c r="H28" s="833"/>
      <c r="I28" s="833"/>
      <c r="J28" s="541"/>
      <c r="K28" s="544"/>
      <c r="L28" s="544"/>
      <c r="M28" s="544"/>
    </row>
    <row r="29" spans="1:13" ht="28.5" customHeight="1" x14ac:dyDescent="0.2">
      <c r="A29" s="545" t="s">
        <v>395</v>
      </c>
      <c r="B29" s="545"/>
      <c r="C29" s="501">
        <f>SUM(C32:C44)</f>
        <v>50</v>
      </c>
      <c r="D29" s="546">
        <f>SUMPRODUCT($B$32:$B$44,$C$32:$C$44,D32:D44)</f>
        <v>15.5</v>
      </c>
      <c r="E29" s="546">
        <f>SUMPRODUCT($B$32:$B$44,$C$32:$C$44,E32:E44)</f>
        <v>27.75</v>
      </c>
      <c r="F29" s="546">
        <f>SUMPRODUCT($B$32:$B$44,$C$32:$C$44,F32:F44)</f>
        <v>44.5</v>
      </c>
      <c r="G29" s="501"/>
      <c r="H29" s="501">
        <f>'Riepilogo Servizio'!B6</f>
        <v>231</v>
      </c>
      <c r="I29" s="547">
        <f>ROUND(H29*H30,2)</f>
        <v>1155</v>
      </c>
      <c r="J29" s="525"/>
      <c r="K29" s="544"/>
      <c r="L29" s="544"/>
      <c r="M29" s="544"/>
    </row>
    <row r="30" spans="1:13" x14ac:dyDescent="0.2">
      <c r="A30" s="548"/>
      <c r="B30" s="548"/>
      <c r="C30" s="549" t="s">
        <v>396</v>
      </c>
      <c r="D30" s="500"/>
      <c r="E30" s="500"/>
      <c r="F30" s="500"/>
      <c r="G30" s="501"/>
      <c r="H30" s="502">
        <v>5</v>
      </c>
      <c r="I30" s="500"/>
      <c r="J30" s="550"/>
      <c r="K30" s="544"/>
      <c r="L30" s="544"/>
      <c r="M30" s="544"/>
    </row>
    <row r="31" spans="1:13" ht="33.75" x14ac:dyDescent="0.2">
      <c r="A31" s="532"/>
      <c r="B31" s="533" t="s">
        <v>387</v>
      </c>
      <c r="C31" s="533" t="s">
        <v>383</v>
      </c>
      <c r="D31" s="534" t="s">
        <v>388</v>
      </c>
      <c r="E31" s="534" t="s">
        <v>388</v>
      </c>
      <c r="F31" s="534" t="s">
        <v>388</v>
      </c>
      <c r="G31" s="535"/>
      <c r="H31" s="536"/>
      <c r="I31" s="537"/>
      <c r="J31" s="531"/>
      <c r="K31" s="826" t="s">
        <v>389</v>
      </c>
      <c r="L31" s="826"/>
      <c r="M31" s="826"/>
    </row>
    <row r="32" spans="1:13" ht="19.5" customHeight="1" x14ac:dyDescent="0.2">
      <c r="A32" s="551" t="s">
        <v>397</v>
      </c>
      <c r="B32" s="552">
        <v>1</v>
      </c>
      <c r="C32" s="540">
        <v>5</v>
      </c>
      <c r="D32" s="553">
        <v>0.2</v>
      </c>
      <c r="E32" s="553">
        <v>0.33</v>
      </c>
      <c r="F32" s="553">
        <v>0.5</v>
      </c>
      <c r="G32" s="540"/>
      <c r="H32" s="553"/>
      <c r="I32" s="554"/>
      <c r="J32" s="544"/>
      <c r="K32" s="542">
        <f>1/D32</f>
        <v>5</v>
      </c>
      <c r="L32" s="542">
        <f>1/E32</f>
        <v>3.0303030303030303</v>
      </c>
      <c r="M32" s="542">
        <f>1/F32</f>
        <v>2</v>
      </c>
    </row>
    <row r="33" spans="1:13" ht="22.5" x14ac:dyDescent="0.2">
      <c r="A33" s="551" t="s">
        <v>398</v>
      </c>
      <c r="B33" s="552">
        <v>1</v>
      </c>
      <c r="C33" s="540">
        <v>5</v>
      </c>
      <c r="D33" s="553">
        <v>0.2</v>
      </c>
      <c r="E33" s="553">
        <v>0.33</v>
      </c>
      <c r="F33" s="553">
        <v>0.5</v>
      </c>
      <c r="G33" s="555"/>
      <c r="H33" s="553"/>
      <c r="I33" s="554"/>
      <c r="J33" s="544"/>
      <c r="K33" s="542">
        <f t="shared" ref="K33:M41" si="1">1/D33</f>
        <v>5</v>
      </c>
      <c r="L33" s="542">
        <f t="shared" si="1"/>
        <v>3.0303030303030303</v>
      </c>
      <c r="M33" s="542">
        <f t="shared" si="1"/>
        <v>2</v>
      </c>
    </row>
    <row r="34" spans="1:13" ht="12.75" x14ac:dyDescent="0.2">
      <c r="A34" s="551" t="s">
        <v>399</v>
      </c>
      <c r="B34" s="552">
        <v>1</v>
      </c>
      <c r="C34" s="540">
        <v>5</v>
      </c>
      <c r="D34" s="553">
        <v>0.2</v>
      </c>
      <c r="E34" s="553">
        <v>0.33</v>
      </c>
      <c r="F34" s="553">
        <v>0.5</v>
      </c>
      <c r="G34" s="555"/>
      <c r="H34" s="553"/>
      <c r="I34" s="554"/>
      <c r="J34" s="544"/>
      <c r="K34" s="542">
        <f t="shared" si="1"/>
        <v>5</v>
      </c>
      <c r="L34" s="542">
        <f t="shared" si="1"/>
        <v>3.0303030303030303</v>
      </c>
      <c r="M34" s="542">
        <f t="shared" si="1"/>
        <v>2</v>
      </c>
    </row>
    <row r="35" spans="1:13" ht="12.75" x14ac:dyDescent="0.2">
      <c r="A35" s="551" t="s">
        <v>400</v>
      </c>
      <c r="B35" s="552">
        <v>1</v>
      </c>
      <c r="C35" s="540">
        <v>5</v>
      </c>
      <c r="D35" s="553">
        <v>0.2</v>
      </c>
      <c r="E35" s="553">
        <v>0.33</v>
      </c>
      <c r="F35" s="553">
        <v>0.5</v>
      </c>
      <c r="G35" s="555"/>
      <c r="H35" s="553"/>
      <c r="I35" s="554"/>
      <c r="J35" s="544"/>
      <c r="K35" s="542">
        <f t="shared" si="1"/>
        <v>5</v>
      </c>
      <c r="L35" s="542">
        <f t="shared" si="1"/>
        <v>3.0303030303030303</v>
      </c>
      <c r="M35" s="542">
        <f t="shared" si="1"/>
        <v>2</v>
      </c>
    </row>
    <row r="36" spans="1:13" ht="22.5" x14ac:dyDescent="0.2">
      <c r="A36" s="551" t="s">
        <v>401</v>
      </c>
      <c r="B36" s="552">
        <v>1</v>
      </c>
      <c r="C36" s="540">
        <v>5</v>
      </c>
      <c r="D36" s="553">
        <v>0.2</v>
      </c>
      <c r="E36" s="553">
        <v>0.33</v>
      </c>
      <c r="F36" s="553">
        <v>0.5</v>
      </c>
      <c r="G36" s="555"/>
      <c r="H36" s="553"/>
      <c r="I36" s="554"/>
      <c r="J36" s="544"/>
      <c r="K36" s="542">
        <f t="shared" si="1"/>
        <v>5</v>
      </c>
      <c r="L36" s="542">
        <f t="shared" si="1"/>
        <v>3.0303030303030303</v>
      </c>
      <c r="M36" s="542">
        <f t="shared" si="1"/>
        <v>2</v>
      </c>
    </row>
    <row r="37" spans="1:13" ht="43.5" customHeight="1" x14ac:dyDescent="0.2">
      <c r="A37" s="551" t="s">
        <v>402</v>
      </c>
      <c r="B37" s="552">
        <v>1</v>
      </c>
      <c r="C37" s="540">
        <v>5</v>
      </c>
      <c r="D37" s="553">
        <v>0.5</v>
      </c>
      <c r="E37" s="553">
        <v>1</v>
      </c>
      <c r="F37" s="553">
        <v>1</v>
      </c>
      <c r="G37" s="555"/>
      <c r="H37" s="553"/>
      <c r="I37" s="554"/>
      <c r="J37" s="544"/>
      <c r="K37" s="542">
        <f t="shared" si="1"/>
        <v>2</v>
      </c>
      <c r="L37" s="542">
        <f t="shared" si="1"/>
        <v>1</v>
      </c>
      <c r="M37" s="542">
        <f t="shared" si="1"/>
        <v>1</v>
      </c>
    </row>
    <row r="38" spans="1:13" ht="22.5" x14ac:dyDescent="0.2">
      <c r="A38" s="551" t="s">
        <v>403</v>
      </c>
      <c r="B38" s="552">
        <v>1</v>
      </c>
      <c r="C38" s="540">
        <v>5</v>
      </c>
      <c r="D38" s="553">
        <v>0.2</v>
      </c>
      <c r="E38" s="553">
        <v>0.2</v>
      </c>
      <c r="F38" s="553">
        <v>0.2</v>
      </c>
      <c r="G38" s="555"/>
      <c r="H38" s="553"/>
      <c r="I38" s="554"/>
      <c r="J38" s="544"/>
      <c r="K38" s="542">
        <f t="shared" si="1"/>
        <v>5</v>
      </c>
      <c r="L38" s="542">
        <f t="shared" si="1"/>
        <v>5</v>
      </c>
      <c r="M38" s="542">
        <f t="shared" si="1"/>
        <v>5</v>
      </c>
    </row>
    <row r="39" spans="1:13" ht="22.5" x14ac:dyDescent="0.2">
      <c r="A39" s="551" t="s">
        <v>404</v>
      </c>
      <c r="B39" s="552">
        <v>1</v>
      </c>
      <c r="C39" s="540">
        <v>5</v>
      </c>
      <c r="D39" s="553">
        <v>0.2</v>
      </c>
      <c r="E39" s="553">
        <v>0.2</v>
      </c>
      <c r="F39" s="553">
        <v>0.2</v>
      </c>
      <c r="G39" s="555"/>
      <c r="H39" s="553"/>
      <c r="I39" s="554"/>
      <c r="J39" s="544"/>
      <c r="K39" s="542">
        <f t="shared" si="1"/>
        <v>5</v>
      </c>
      <c r="L39" s="542">
        <f t="shared" si="1"/>
        <v>5</v>
      </c>
      <c r="M39" s="542">
        <f t="shared" si="1"/>
        <v>5</v>
      </c>
    </row>
    <row r="40" spans="1:13" ht="12.75" x14ac:dyDescent="0.2">
      <c r="A40" s="551" t="s">
        <v>405</v>
      </c>
      <c r="B40" s="552">
        <v>1</v>
      </c>
      <c r="C40" s="540">
        <v>5</v>
      </c>
      <c r="D40" s="553">
        <v>0.2</v>
      </c>
      <c r="E40" s="553">
        <v>0.5</v>
      </c>
      <c r="F40" s="553">
        <v>1</v>
      </c>
      <c r="G40" s="555"/>
      <c r="H40" s="553"/>
      <c r="I40" s="554"/>
      <c r="J40" s="544"/>
      <c r="K40" s="542">
        <f t="shared" si="1"/>
        <v>5</v>
      </c>
      <c r="L40" s="542">
        <f t="shared" si="1"/>
        <v>2</v>
      </c>
      <c r="M40" s="542">
        <f t="shared" si="1"/>
        <v>1</v>
      </c>
    </row>
    <row r="41" spans="1:13" ht="29.25" customHeight="1" x14ac:dyDescent="0.2">
      <c r="A41" s="551" t="s">
        <v>406</v>
      </c>
      <c r="B41" s="827">
        <v>1</v>
      </c>
      <c r="C41" s="827">
        <v>5</v>
      </c>
      <c r="D41" s="831">
        <v>1</v>
      </c>
      <c r="E41" s="831">
        <v>2</v>
      </c>
      <c r="F41" s="831">
        <v>4</v>
      </c>
      <c r="G41" s="827"/>
      <c r="H41" s="831"/>
      <c r="I41" s="831"/>
      <c r="J41" s="541"/>
      <c r="K41" s="834">
        <f t="shared" si="1"/>
        <v>1</v>
      </c>
      <c r="L41" s="834">
        <f t="shared" si="1"/>
        <v>0.5</v>
      </c>
      <c r="M41" s="834">
        <f t="shared" si="1"/>
        <v>0.25</v>
      </c>
    </row>
    <row r="42" spans="1:13" x14ac:dyDescent="0.2">
      <c r="A42" s="551" t="s">
        <v>407</v>
      </c>
      <c r="B42" s="828"/>
      <c r="C42" s="828"/>
      <c r="D42" s="832"/>
      <c r="E42" s="832"/>
      <c r="F42" s="832"/>
      <c r="G42" s="828"/>
      <c r="H42" s="832"/>
      <c r="I42" s="832"/>
      <c r="J42" s="541"/>
      <c r="K42" s="834"/>
      <c r="L42" s="834"/>
      <c r="M42" s="834"/>
    </row>
    <row r="43" spans="1:13" ht="22.5" x14ac:dyDescent="0.2">
      <c r="A43" s="551" t="s">
        <v>408</v>
      </c>
      <c r="B43" s="828"/>
      <c r="C43" s="828"/>
      <c r="D43" s="832"/>
      <c r="E43" s="832"/>
      <c r="F43" s="832"/>
      <c r="G43" s="828"/>
      <c r="H43" s="832"/>
      <c r="I43" s="832"/>
      <c r="J43" s="541"/>
      <c r="K43" s="834"/>
      <c r="L43" s="834"/>
      <c r="M43" s="834"/>
    </row>
    <row r="44" spans="1:13" ht="22.5" x14ac:dyDescent="0.2">
      <c r="A44" s="556" t="s">
        <v>409</v>
      </c>
      <c r="B44" s="829"/>
      <c r="C44" s="828"/>
      <c r="D44" s="832"/>
      <c r="E44" s="832"/>
      <c r="F44" s="832"/>
      <c r="G44" s="828"/>
      <c r="H44" s="833"/>
      <c r="I44" s="833"/>
      <c r="J44" s="541"/>
      <c r="K44" s="834"/>
      <c r="L44" s="834"/>
      <c r="M44" s="834"/>
    </row>
    <row r="45" spans="1:13" ht="27" customHeight="1" x14ac:dyDescent="0.2">
      <c r="A45" s="545" t="s">
        <v>410</v>
      </c>
      <c r="B45" s="545"/>
      <c r="C45" s="501">
        <f>SUM(C48)</f>
        <v>5</v>
      </c>
      <c r="D45" s="546">
        <f>SUMPRODUCT($B$48,$C$48,D48)</f>
        <v>5</v>
      </c>
      <c r="E45" s="546">
        <f>SUMPRODUCT($B$48,$C$48,E48)</f>
        <v>10</v>
      </c>
      <c r="F45" s="546">
        <f>SUMPRODUCT($B$48,$C$48,F48)</f>
        <v>20</v>
      </c>
      <c r="G45" s="501"/>
      <c r="H45" s="501">
        <f>'Riepilogo Servizio'!B6</f>
        <v>231</v>
      </c>
      <c r="I45" s="547">
        <f>ROUND(H45*H46,2)</f>
        <v>1155</v>
      </c>
      <c r="J45" s="525"/>
      <c r="K45" s="544"/>
      <c r="L45" s="544"/>
      <c r="M45" s="544"/>
    </row>
    <row r="46" spans="1:13" x14ac:dyDescent="0.2">
      <c r="A46" s="548"/>
      <c r="B46" s="548"/>
      <c r="C46" s="549" t="s">
        <v>396</v>
      </c>
      <c r="D46" s="500"/>
      <c r="E46" s="500"/>
      <c r="F46" s="500"/>
      <c r="G46" s="501"/>
      <c r="H46" s="502">
        <v>5</v>
      </c>
      <c r="I46" s="500"/>
      <c r="J46" s="550"/>
      <c r="K46" s="544"/>
      <c r="L46" s="544"/>
      <c r="M46" s="544"/>
    </row>
    <row r="47" spans="1:13" ht="33.75" x14ac:dyDescent="0.2">
      <c r="A47" s="532"/>
      <c r="B47" s="533" t="s">
        <v>387</v>
      </c>
      <c r="C47" s="533" t="s">
        <v>383</v>
      </c>
      <c r="D47" s="534" t="s">
        <v>388</v>
      </c>
      <c r="E47" s="534" t="s">
        <v>388</v>
      </c>
      <c r="F47" s="534" t="s">
        <v>388</v>
      </c>
      <c r="G47" s="535"/>
      <c r="H47" s="536"/>
      <c r="I47" s="536"/>
      <c r="J47" s="473"/>
      <c r="K47" s="826" t="s">
        <v>389</v>
      </c>
      <c r="L47" s="826"/>
      <c r="M47" s="826"/>
    </row>
    <row r="48" spans="1:13" ht="12.75" customHeight="1" x14ac:dyDescent="0.2">
      <c r="A48" s="538" t="s">
        <v>411</v>
      </c>
      <c r="B48" s="827">
        <v>1</v>
      </c>
      <c r="C48" s="827">
        <v>5</v>
      </c>
      <c r="D48" s="831">
        <v>1</v>
      </c>
      <c r="E48" s="831">
        <v>2</v>
      </c>
      <c r="F48" s="831">
        <v>4</v>
      </c>
      <c r="G48" s="827"/>
      <c r="H48" s="835"/>
      <c r="I48" s="838"/>
      <c r="J48" s="557"/>
      <c r="K48" s="834">
        <f>1/D48</f>
        <v>1</v>
      </c>
      <c r="L48" s="834">
        <f>1/E48</f>
        <v>0.5</v>
      </c>
      <c r="M48" s="834">
        <f>1/F48</f>
        <v>0.25</v>
      </c>
    </row>
    <row r="49" spans="1:13" ht="12.75" customHeight="1" x14ac:dyDescent="0.2">
      <c r="A49" s="538" t="s">
        <v>412</v>
      </c>
      <c r="B49" s="828"/>
      <c r="C49" s="828"/>
      <c r="D49" s="832"/>
      <c r="E49" s="832"/>
      <c r="F49" s="832"/>
      <c r="G49" s="828"/>
      <c r="H49" s="836"/>
      <c r="I49" s="839"/>
      <c r="J49" s="557"/>
      <c r="K49" s="834"/>
      <c r="L49" s="834"/>
      <c r="M49" s="834"/>
    </row>
    <row r="50" spans="1:13" ht="12.75" customHeight="1" x14ac:dyDescent="0.2">
      <c r="A50" s="538" t="s">
        <v>413</v>
      </c>
      <c r="B50" s="828"/>
      <c r="C50" s="828"/>
      <c r="D50" s="832"/>
      <c r="E50" s="832"/>
      <c r="F50" s="832"/>
      <c r="G50" s="828"/>
      <c r="H50" s="836"/>
      <c r="I50" s="839"/>
      <c r="J50" s="557"/>
      <c r="K50" s="834"/>
      <c r="L50" s="834"/>
      <c r="M50" s="834"/>
    </row>
    <row r="51" spans="1:13" ht="12.75" customHeight="1" x14ac:dyDescent="0.2">
      <c r="A51" s="538" t="s">
        <v>414</v>
      </c>
      <c r="B51" s="828"/>
      <c r="C51" s="828"/>
      <c r="D51" s="832"/>
      <c r="E51" s="832"/>
      <c r="F51" s="832"/>
      <c r="G51" s="828"/>
      <c r="H51" s="836"/>
      <c r="I51" s="839"/>
      <c r="J51" s="557"/>
      <c r="K51" s="834"/>
      <c r="L51" s="834"/>
      <c r="M51" s="834"/>
    </row>
    <row r="52" spans="1:13" ht="12.75" customHeight="1" x14ac:dyDescent="0.2">
      <c r="A52" s="538" t="s">
        <v>405</v>
      </c>
      <c r="B52" s="829"/>
      <c r="C52" s="829"/>
      <c r="D52" s="833"/>
      <c r="E52" s="833"/>
      <c r="F52" s="833"/>
      <c r="G52" s="829"/>
      <c r="H52" s="837"/>
      <c r="I52" s="840"/>
      <c r="J52" s="557"/>
      <c r="K52" s="834"/>
      <c r="L52" s="834"/>
      <c r="M52" s="834"/>
    </row>
    <row r="53" spans="1:13" ht="28.5" customHeight="1" x14ac:dyDescent="0.2">
      <c r="A53" s="499" t="s">
        <v>415</v>
      </c>
      <c r="B53" s="499"/>
      <c r="C53" s="501">
        <f>SUM(C55)</f>
        <v>5</v>
      </c>
      <c r="D53" s="546">
        <f>SUMPRODUCT($B$55,$C$55,D55)</f>
        <v>1</v>
      </c>
      <c r="E53" s="546">
        <f>SUMPRODUCT($B$55,$C$55,E55)</f>
        <v>1</v>
      </c>
      <c r="F53" s="546">
        <f>SUMPRODUCT($B$55,$C$55,F55)</f>
        <v>1</v>
      </c>
      <c r="G53" s="501"/>
      <c r="H53" s="501">
        <f>'Riepilogo Servizio'!B6</f>
        <v>231</v>
      </c>
      <c r="I53" s="558"/>
      <c r="J53" s="531"/>
      <c r="K53" s="542"/>
      <c r="L53" s="542"/>
      <c r="M53" s="542"/>
    </row>
    <row r="54" spans="1:13" ht="33.75" x14ac:dyDescent="0.2">
      <c r="A54" s="532"/>
      <c r="B54" s="533" t="s">
        <v>387</v>
      </c>
      <c r="C54" s="533" t="s">
        <v>383</v>
      </c>
      <c r="D54" s="534" t="s">
        <v>388</v>
      </c>
      <c r="E54" s="534" t="s">
        <v>388</v>
      </c>
      <c r="F54" s="534" t="s">
        <v>388</v>
      </c>
      <c r="G54" s="535"/>
      <c r="H54" s="536"/>
      <c r="I54" s="537"/>
      <c r="J54" s="531"/>
      <c r="K54" s="826" t="s">
        <v>389</v>
      </c>
      <c r="L54" s="826"/>
      <c r="M54" s="826"/>
    </row>
    <row r="55" spans="1:13" ht="22.5" x14ac:dyDescent="0.2">
      <c r="A55" s="538" t="s">
        <v>416</v>
      </c>
      <c r="B55" s="827">
        <v>1</v>
      </c>
      <c r="C55" s="827">
        <v>5</v>
      </c>
      <c r="D55" s="831">
        <v>0.2</v>
      </c>
      <c r="E55" s="831">
        <v>0.2</v>
      </c>
      <c r="F55" s="831">
        <v>0.2</v>
      </c>
      <c r="G55" s="841"/>
      <c r="H55" s="831"/>
      <c r="I55" s="831"/>
      <c r="J55" s="541"/>
      <c r="K55" s="834">
        <f>1/D55</f>
        <v>5</v>
      </c>
      <c r="L55" s="834">
        <f>1/E55</f>
        <v>5</v>
      </c>
      <c r="M55" s="834">
        <f>1/F55</f>
        <v>5</v>
      </c>
    </row>
    <row r="56" spans="1:13" ht="56.25" customHeight="1" x14ac:dyDescent="0.2">
      <c r="A56" s="538" t="s">
        <v>417</v>
      </c>
      <c r="B56" s="829"/>
      <c r="C56" s="829"/>
      <c r="D56" s="833"/>
      <c r="E56" s="833"/>
      <c r="F56" s="833"/>
      <c r="G56" s="842"/>
      <c r="H56" s="833"/>
      <c r="I56" s="833"/>
      <c r="J56" s="541"/>
      <c r="K56" s="834"/>
      <c r="L56" s="834"/>
      <c r="M56" s="834"/>
    </row>
    <row r="57" spans="1:13" ht="23.25" customHeight="1" x14ac:dyDescent="0.2">
      <c r="A57" s="499" t="s">
        <v>418</v>
      </c>
      <c r="B57" s="499"/>
      <c r="C57" s="501">
        <f>SUM(C59)</f>
        <v>5</v>
      </c>
      <c r="D57" s="546">
        <f>SUMPRODUCT($B$59,$C$59,D59)</f>
        <v>1</v>
      </c>
      <c r="E57" s="546">
        <f>SUMPRODUCT($B$59,$C$59,E59)</f>
        <v>2.5</v>
      </c>
      <c r="F57" s="546">
        <f>SUMPRODUCT($B$59,$C$59,F59)</f>
        <v>5</v>
      </c>
      <c r="G57" s="501"/>
      <c r="H57" s="501">
        <f>'Riepilogo Servizio'!B6</f>
        <v>231</v>
      </c>
      <c r="I57" s="558"/>
      <c r="J57" s="531"/>
      <c r="K57" s="542"/>
      <c r="L57" s="542"/>
      <c r="M57" s="542"/>
    </row>
    <row r="58" spans="1:13" ht="33.75" x14ac:dyDescent="0.2">
      <c r="A58" s="532"/>
      <c r="B58" s="533" t="s">
        <v>387</v>
      </c>
      <c r="C58" s="533" t="s">
        <v>383</v>
      </c>
      <c r="D58" s="534" t="s">
        <v>388</v>
      </c>
      <c r="E58" s="534" t="s">
        <v>388</v>
      </c>
      <c r="F58" s="534" t="s">
        <v>388</v>
      </c>
      <c r="G58" s="535"/>
      <c r="H58" s="536"/>
      <c r="I58" s="537"/>
      <c r="J58" s="531"/>
      <c r="K58" s="826" t="s">
        <v>389</v>
      </c>
      <c r="L58" s="826"/>
      <c r="M58" s="826"/>
    </row>
    <row r="59" spans="1:13" ht="20.25" customHeight="1" x14ac:dyDescent="0.2">
      <c r="A59" s="538" t="s">
        <v>419</v>
      </c>
      <c r="B59" s="540">
        <v>1</v>
      </c>
      <c r="C59" s="553">
        <v>5</v>
      </c>
      <c r="D59" s="553">
        <v>0.2</v>
      </c>
      <c r="E59" s="553">
        <v>0.5</v>
      </c>
      <c r="F59" s="553">
        <v>1</v>
      </c>
      <c r="G59" s="559"/>
      <c r="H59" s="517"/>
      <c r="I59" s="516"/>
      <c r="J59" s="550"/>
      <c r="K59" s="542">
        <f>1/D59</f>
        <v>5</v>
      </c>
      <c r="L59" s="542">
        <f>1/E59</f>
        <v>2</v>
      </c>
      <c r="M59" s="542">
        <f>1/F59</f>
        <v>1</v>
      </c>
    </row>
    <row r="60" spans="1:13" ht="26.25" customHeight="1" x14ac:dyDescent="0.2">
      <c r="A60" s="499" t="s">
        <v>420</v>
      </c>
      <c r="B60" s="499"/>
      <c r="C60" s="501">
        <f>SUM(C62)</f>
        <v>10</v>
      </c>
      <c r="D60" s="546">
        <f>SUMPRODUCT($B$62,$C$62,D62,$I$62)</f>
        <v>2.5</v>
      </c>
      <c r="E60" s="546">
        <f>SUMPRODUCT($B$62,$C$62,E62,$I$62)</f>
        <v>5</v>
      </c>
      <c r="F60" s="546">
        <f>SUMPRODUCT($B$62,$C$62,F62,$I$62)</f>
        <v>10</v>
      </c>
      <c r="G60" s="501"/>
      <c r="H60" s="501">
        <f>'Riepilogo Servizio'!B6</f>
        <v>231</v>
      </c>
      <c r="I60" s="558"/>
      <c r="J60" s="531"/>
      <c r="K60" s="542"/>
      <c r="L60" s="542"/>
      <c r="M60" s="542"/>
    </row>
    <row r="61" spans="1:13" ht="33.75" x14ac:dyDescent="0.2">
      <c r="A61" s="532"/>
      <c r="B61" s="533" t="s">
        <v>387</v>
      </c>
      <c r="C61" s="533" t="s">
        <v>383</v>
      </c>
      <c r="D61" s="534" t="s">
        <v>388</v>
      </c>
      <c r="E61" s="534" t="s">
        <v>388</v>
      </c>
      <c r="F61" s="534" t="s">
        <v>388</v>
      </c>
      <c r="G61" s="535"/>
      <c r="H61" s="536"/>
      <c r="I61" s="536" t="s">
        <v>421</v>
      </c>
      <c r="J61" s="473"/>
      <c r="K61" s="826" t="s">
        <v>389</v>
      </c>
      <c r="L61" s="826"/>
      <c r="M61" s="826"/>
    </row>
    <row r="62" spans="1:13" ht="26.25" customHeight="1" x14ac:dyDescent="0.2">
      <c r="A62" s="538" t="s">
        <v>422</v>
      </c>
      <c r="B62" s="540">
        <v>1</v>
      </c>
      <c r="C62" s="553">
        <v>10</v>
      </c>
      <c r="D62" s="553">
        <v>0.25</v>
      </c>
      <c r="E62" s="553">
        <v>0.5</v>
      </c>
      <c r="F62" s="553">
        <v>1</v>
      </c>
      <c r="G62" s="559"/>
      <c r="H62" s="517"/>
      <c r="I62" s="560">
        <v>1</v>
      </c>
      <c r="J62" s="557"/>
      <c r="K62" s="542">
        <f>1/D62</f>
        <v>4</v>
      </c>
      <c r="L62" s="542">
        <f>1/E62</f>
        <v>2</v>
      </c>
      <c r="M62" s="542">
        <f>1/F62</f>
        <v>1</v>
      </c>
    </row>
    <row r="63" spans="1:13" ht="13.5" thickBot="1" x14ac:dyDescent="0.25">
      <c r="A63" s="490"/>
      <c r="B63" s="490"/>
      <c r="C63" s="490"/>
      <c r="D63" s="490"/>
      <c r="E63" s="490"/>
      <c r="F63" s="490"/>
      <c r="G63" s="490"/>
      <c r="H63" s="490"/>
      <c r="I63" s="490"/>
      <c r="J63" s="490"/>
      <c r="K63" s="544"/>
      <c r="L63" s="544"/>
      <c r="M63" s="544"/>
    </row>
    <row r="64" spans="1:13" ht="44.25" customHeight="1" thickBot="1" x14ac:dyDescent="0.25">
      <c r="A64" s="561" t="s">
        <v>423</v>
      </c>
      <c r="B64" s="562"/>
      <c r="C64" s="522" t="s">
        <v>424</v>
      </c>
      <c r="D64" s="523" t="s">
        <v>425</v>
      </c>
      <c r="E64" s="523" t="s">
        <v>425</v>
      </c>
      <c r="F64" s="523" t="s">
        <v>425</v>
      </c>
      <c r="G64" s="522" t="s">
        <v>385</v>
      </c>
      <c r="H64" s="522" t="s">
        <v>364</v>
      </c>
      <c r="I64" s="524">
        <f>SUM(I65:I90)</f>
        <v>0</v>
      </c>
      <c r="J64" s="525"/>
      <c r="K64" s="544"/>
      <c r="L64" s="544"/>
      <c r="M64" s="544"/>
    </row>
    <row r="65" spans="1:13" ht="28.5" customHeight="1" x14ac:dyDescent="0.2">
      <c r="A65" s="526" t="s">
        <v>426</v>
      </c>
      <c r="B65" s="526"/>
      <c r="C65" s="527">
        <f>SUM(C68:C77)</f>
        <v>5.6</v>
      </c>
      <c r="D65" s="477">
        <f>SUMPRODUCT($B$68:$B$77,$C$68:$C$77,D68:D77)</f>
        <v>3.1</v>
      </c>
      <c r="E65" s="477">
        <f>SUMPRODUCT($B$68:$B$77,$C$68:$C$77,E68:E77)</f>
        <v>6.1</v>
      </c>
      <c r="F65" s="477">
        <f>SUMPRODUCT($B$68:$B$77,$C$68:$C$77,F68:F77)</f>
        <v>6.1</v>
      </c>
      <c r="G65" s="529"/>
      <c r="H65" s="527">
        <f>'Riepilogo Servizio'!B5</f>
        <v>6237</v>
      </c>
      <c r="I65" s="563">
        <f>ROUND(H65*H66,2)</f>
        <v>0</v>
      </c>
      <c r="J65" s="525"/>
      <c r="K65" s="544"/>
      <c r="L65" s="544"/>
      <c r="M65" s="544"/>
    </row>
    <row r="66" spans="1:13" ht="16.5" customHeight="1" x14ac:dyDescent="0.2">
      <c r="A66" s="548"/>
      <c r="B66" s="548"/>
      <c r="C66" s="549" t="s">
        <v>396</v>
      </c>
      <c r="D66" s="500"/>
      <c r="E66" s="500"/>
      <c r="F66" s="500"/>
      <c r="G66" s="501"/>
      <c r="H66" s="502"/>
      <c r="I66" s="500"/>
      <c r="J66" s="550"/>
      <c r="K66" s="544"/>
      <c r="L66" s="544"/>
      <c r="M66" s="544"/>
    </row>
    <row r="67" spans="1:13" ht="33.75" x14ac:dyDescent="0.2">
      <c r="A67" s="532"/>
      <c r="B67" s="533" t="s">
        <v>387</v>
      </c>
      <c r="C67" s="533" t="s">
        <v>427</v>
      </c>
      <c r="D67" s="534" t="s">
        <v>388</v>
      </c>
      <c r="E67" s="534" t="s">
        <v>388</v>
      </c>
      <c r="F67" s="534" t="s">
        <v>388</v>
      </c>
      <c r="G67" s="535"/>
      <c r="H67" s="536"/>
      <c r="I67" s="537"/>
      <c r="J67" s="531"/>
      <c r="K67" s="826" t="s">
        <v>389</v>
      </c>
      <c r="L67" s="826"/>
      <c r="M67" s="826"/>
    </row>
    <row r="68" spans="1:13" ht="52.5" customHeight="1" x14ac:dyDescent="0.2">
      <c r="A68" s="538" t="s">
        <v>428</v>
      </c>
      <c r="B68" s="539">
        <v>1</v>
      </c>
      <c r="C68" s="539">
        <f>60/100</f>
        <v>0.6</v>
      </c>
      <c r="D68" s="553">
        <v>1</v>
      </c>
      <c r="E68" s="553">
        <v>6</v>
      </c>
      <c r="F68" s="553">
        <v>6</v>
      </c>
      <c r="G68" s="485" t="s">
        <v>429</v>
      </c>
      <c r="H68" s="553"/>
      <c r="I68" s="554"/>
      <c r="J68" s="544"/>
      <c r="K68" s="542">
        <f t="shared" ref="K68:M69" si="2">1/D68</f>
        <v>1</v>
      </c>
      <c r="L68" s="542">
        <f>1/E68</f>
        <v>0.16666666666666666</v>
      </c>
      <c r="M68" s="542">
        <f>1/F68</f>
        <v>0.16666666666666666</v>
      </c>
    </row>
    <row r="69" spans="1:13" ht="22.5" customHeight="1" x14ac:dyDescent="0.2">
      <c r="A69" s="538" t="s">
        <v>430</v>
      </c>
      <c r="B69" s="827">
        <v>2</v>
      </c>
      <c r="C69" s="827">
        <v>5</v>
      </c>
      <c r="D69" s="827">
        <v>0.25</v>
      </c>
      <c r="E69" s="827">
        <v>0.25</v>
      </c>
      <c r="F69" s="827">
        <v>0.25</v>
      </c>
      <c r="G69" s="841"/>
      <c r="H69" s="831"/>
      <c r="I69" s="831"/>
      <c r="J69" s="541"/>
      <c r="K69" s="834">
        <f t="shared" si="2"/>
        <v>4</v>
      </c>
      <c r="L69" s="834">
        <f t="shared" si="2"/>
        <v>4</v>
      </c>
      <c r="M69" s="834">
        <f t="shared" si="2"/>
        <v>4</v>
      </c>
    </row>
    <row r="70" spans="1:13" ht="22.5" x14ac:dyDescent="0.2">
      <c r="A70" s="538" t="s">
        <v>431</v>
      </c>
      <c r="B70" s="828"/>
      <c r="C70" s="828"/>
      <c r="D70" s="828"/>
      <c r="E70" s="828"/>
      <c r="F70" s="828"/>
      <c r="G70" s="843"/>
      <c r="H70" s="832"/>
      <c r="I70" s="832"/>
      <c r="J70" s="541"/>
      <c r="K70" s="834"/>
      <c r="L70" s="834"/>
      <c r="M70" s="834"/>
    </row>
    <row r="71" spans="1:13" x14ac:dyDescent="0.2">
      <c r="A71" s="538" t="s">
        <v>432</v>
      </c>
      <c r="B71" s="828"/>
      <c r="C71" s="828"/>
      <c r="D71" s="828"/>
      <c r="E71" s="828"/>
      <c r="F71" s="828"/>
      <c r="G71" s="843"/>
      <c r="H71" s="832"/>
      <c r="I71" s="832"/>
      <c r="J71" s="541"/>
      <c r="K71" s="834"/>
      <c r="L71" s="834"/>
      <c r="M71" s="834"/>
    </row>
    <row r="72" spans="1:13" ht="22.5" x14ac:dyDescent="0.2">
      <c r="A72" s="538" t="s">
        <v>433</v>
      </c>
      <c r="B72" s="828"/>
      <c r="C72" s="828"/>
      <c r="D72" s="828"/>
      <c r="E72" s="828"/>
      <c r="F72" s="828"/>
      <c r="G72" s="843"/>
      <c r="H72" s="832"/>
      <c r="I72" s="832"/>
      <c r="J72" s="541"/>
      <c r="K72" s="834"/>
      <c r="L72" s="834"/>
      <c r="M72" s="834"/>
    </row>
    <row r="73" spans="1:13" ht="24.75" customHeight="1" x14ac:dyDescent="0.2">
      <c r="A73" s="538" t="s">
        <v>434</v>
      </c>
      <c r="B73" s="828"/>
      <c r="C73" s="828"/>
      <c r="D73" s="828"/>
      <c r="E73" s="828"/>
      <c r="F73" s="828"/>
      <c r="G73" s="843"/>
      <c r="H73" s="832"/>
      <c r="I73" s="832"/>
      <c r="J73" s="541"/>
      <c r="K73" s="834"/>
      <c r="L73" s="834"/>
      <c r="M73" s="834"/>
    </row>
    <row r="74" spans="1:13" x14ac:dyDescent="0.2">
      <c r="A74" s="538" t="s">
        <v>435</v>
      </c>
      <c r="B74" s="828"/>
      <c r="C74" s="828"/>
      <c r="D74" s="828"/>
      <c r="E74" s="828"/>
      <c r="F74" s="828"/>
      <c r="G74" s="843"/>
      <c r="H74" s="832"/>
      <c r="I74" s="832"/>
      <c r="J74" s="541"/>
      <c r="K74" s="834"/>
      <c r="L74" s="834"/>
      <c r="M74" s="834"/>
    </row>
    <row r="75" spans="1:13" ht="22.5" x14ac:dyDescent="0.2">
      <c r="A75" s="538" t="s">
        <v>436</v>
      </c>
      <c r="B75" s="828"/>
      <c r="C75" s="828"/>
      <c r="D75" s="828"/>
      <c r="E75" s="828"/>
      <c r="F75" s="828"/>
      <c r="G75" s="843"/>
      <c r="H75" s="832"/>
      <c r="I75" s="832"/>
      <c r="J75" s="541"/>
      <c r="K75" s="834"/>
      <c r="L75" s="834"/>
      <c r="M75" s="834"/>
    </row>
    <row r="76" spans="1:13" ht="13.5" customHeight="1" x14ac:dyDescent="0.2">
      <c r="A76" s="538" t="s">
        <v>437</v>
      </c>
      <c r="B76" s="828"/>
      <c r="C76" s="828"/>
      <c r="D76" s="828"/>
      <c r="E76" s="828"/>
      <c r="F76" s="828"/>
      <c r="G76" s="843"/>
      <c r="H76" s="832"/>
      <c r="I76" s="832"/>
      <c r="J76" s="541"/>
      <c r="K76" s="834"/>
      <c r="L76" s="834"/>
      <c r="M76" s="834"/>
    </row>
    <row r="77" spans="1:13" ht="22.5" x14ac:dyDescent="0.2">
      <c r="A77" s="538" t="s">
        <v>438</v>
      </c>
      <c r="B77" s="829"/>
      <c r="C77" s="829"/>
      <c r="D77" s="829"/>
      <c r="E77" s="829"/>
      <c r="F77" s="829"/>
      <c r="G77" s="842"/>
      <c r="H77" s="833"/>
      <c r="I77" s="833"/>
      <c r="J77" s="541"/>
      <c r="K77" s="834"/>
      <c r="L77" s="834"/>
      <c r="M77" s="834"/>
    </row>
    <row r="78" spans="1:13" ht="23.25" customHeight="1" x14ac:dyDescent="0.2">
      <c r="A78" s="545" t="s">
        <v>439</v>
      </c>
      <c r="B78" s="545"/>
      <c r="C78" s="564">
        <f>SUM(C80)</f>
        <v>5</v>
      </c>
      <c r="D78" s="546">
        <f>SUMPRODUCT($B$80,$C$80,D80)</f>
        <v>1</v>
      </c>
      <c r="E78" s="546">
        <f>SUMPRODUCT($B$80,$C$80,E80)</f>
        <v>1.665</v>
      </c>
      <c r="F78" s="546">
        <f>SUMPRODUCT($B$80,$C$80,F80)</f>
        <v>2.5</v>
      </c>
      <c r="G78" s="477"/>
      <c r="H78" s="501">
        <f>'Riepilogo Servizio'!B5</f>
        <v>6237</v>
      </c>
      <c r="I78" s="547"/>
      <c r="J78" s="525"/>
      <c r="K78" s="544"/>
      <c r="L78" s="544"/>
      <c r="M78" s="544"/>
    </row>
    <row r="79" spans="1:13" ht="33.75" x14ac:dyDescent="0.2">
      <c r="A79" s="532"/>
      <c r="B79" s="533" t="s">
        <v>387</v>
      </c>
      <c r="C79" s="533" t="s">
        <v>427</v>
      </c>
      <c r="D79" s="534" t="s">
        <v>388</v>
      </c>
      <c r="E79" s="534" t="s">
        <v>388</v>
      </c>
      <c r="F79" s="534" t="s">
        <v>388</v>
      </c>
      <c r="G79" s="535"/>
      <c r="H79" s="536"/>
      <c r="I79" s="537"/>
      <c r="J79" s="531"/>
      <c r="K79" s="826" t="s">
        <v>389</v>
      </c>
      <c r="L79" s="826"/>
      <c r="M79" s="826"/>
    </row>
    <row r="80" spans="1:13" ht="67.5" x14ac:dyDescent="0.2">
      <c r="A80" s="538" t="s">
        <v>440</v>
      </c>
      <c r="B80" s="827">
        <v>1</v>
      </c>
      <c r="C80" s="827">
        <v>5</v>
      </c>
      <c r="D80" s="831">
        <v>0.2</v>
      </c>
      <c r="E80" s="831">
        <v>0.33300000000000002</v>
      </c>
      <c r="F80" s="831">
        <v>0.5</v>
      </c>
      <c r="G80" s="819" t="s">
        <v>429</v>
      </c>
      <c r="H80" s="831"/>
      <c r="I80" s="831"/>
      <c r="J80" s="541"/>
      <c r="K80" s="834">
        <f>1/D80</f>
        <v>5</v>
      </c>
      <c r="L80" s="834">
        <f>1/E80</f>
        <v>3.0030030030030028</v>
      </c>
      <c r="M80" s="834">
        <f>1/F80</f>
        <v>2</v>
      </c>
    </row>
    <row r="81" spans="1:13" ht="90" x14ac:dyDescent="0.2">
      <c r="A81" s="538" t="s">
        <v>441</v>
      </c>
      <c r="B81" s="829"/>
      <c r="C81" s="829"/>
      <c r="D81" s="833"/>
      <c r="E81" s="833"/>
      <c r="F81" s="833"/>
      <c r="G81" s="820"/>
      <c r="H81" s="833"/>
      <c r="I81" s="833"/>
      <c r="J81" s="541"/>
      <c r="K81" s="834"/>
      <c r="L81" s="834"/>
      <c r="M81" s="834"/>
    </row>
    <row r="82" spans="1:13" ht="28.5" customHeight="1" x14ac:dyDescent="0.2">
      <c r="A82" s="545" t="s">
        <v>442</v>
      </c>
      <c r="B82" s="545"/>
      <c r="C82" s="501">
        <f>SUM(C84:C89)</f>
        <v>35</v>
      </c>
      <c r="D82" s="546">
        <f>SUMPRODUCT($B$84:$B$89,$C$84:$C$89,D84:D89)</f>
        <v>8.75</v>
      </c>
      <c r="E82" s="546">
        <f>SUMPRODUCT($B$84:$B$89,$C$84:$C$89,E84:E89)</f>
        <v>17.5</v>
      </c>
      <c r="F82" s="546">
        <f>SUMPRODUCT($B$84:$B$89,$C$84:$C$89,F84:F89)</f>
        <v>35</v>
      </c>
      <c r="G82" s="477"/>
      <c r="H82" s="501">
        <f>'Riepilogo Servizio'!B5</f>
        <v>6237</v>
      </c>
      <c r="I82" s="547"/>
      <c r="J82" s="525"/>
      <c r="K82" s="544"/>
      <c r="L82" s="544"/>
      <c r="M82" s="544"/>
    </row>
    <row r="83" spans="1:13" ht="33.75" x14ac:dyDescent="0.2">
      <c r="A83" s="532"/>
      <c r="B83" s="533" t="s">
        <v>387</v>
      </c>
      <c r="C83" s="533" t="s">
        <v>427</v>
      </c>
      <c r="D83" s="534" t="s">
        <v>388</v>
      </c>
      <c r="E83" s="534" t="s">
        <v>388</v>
      </c>
      <c r="F83" s="534" t="s">
        <v>388</v>
      </c>
      <c r="G83" s="535"/>
      <c r="H83" s="536"/>
      <c r="I83" s="537"/>
      <c r="J83" s="531"/>
      <c r="K83" s="826" t="s">
        <v>389</v>
      </c>
      <c r="L83" s="826"/>
      <c r="M83" s="826"/>
    </row>
    <row r="84" spans="1:13" ht="33.75" x14ac:dyDescent="0.2">
      <c r="A84" s="538" t="s">
        <v>443</v>
      </c>
      <c r="B84" s="540">
        <v>1</v>
      </c>
      <c r="C84" s="540">
        <v>5</v>
      </c>
      <c r="D84" s="553">
        <v>0.25</v>
      </c>
      <c r="E84" s="553">
        <v>0.5</v>
      </c>
      <c r="F84" s="553">
        <v>1</v>
      </c>
      <c r="G84" s="485" t="s">
        <v>429</v>
      </c>
      <c r="H84" s="553"/>
      <c r="I84" s="554"/>
      <c r="J84" s="544"/>
      <c r="K84" s="542">
        <f t="shared" ref="K84:M89" si="3">1/D84</f>
        <v>4</v>
      </c>
      <c r="L84" s="542">
        <f t="shared" si="3"/>
        <v>2</v>
      </c>
      <c r="M84" s="542">
        <f t="shared" si="3"/>
        <v>1</v>
      </c>
    </row>
    <row r="85" spans="1:13" ht="26.25" customHeight="1" x14ac:dyDescent="0.2">
      <c r="A85" s="538" t="s">
        <v>444</v>
      </c>
      <c r="B85" s="540">
        <v>1</v>
      </c>
      <c r="C85" s="540">
        <v>5</v>
      </c>
      <c r="D85" s="553">
        <v>0.25</v>
      </c>
      <c r="E85" s="553">
        <v>0.5</v>
      </c>
      <c r="F85" s="553">
        <v>1</v>
      </c>
      <c r="G85" s="485" t="s">
        <v>429</v>
      </c>
      <c r="H85" s="553"/>
      <c r="I85" s="554"/>
      <c r="J85" s="544"/>
      <c r="K85" s="542">
        <f t="shared" si="3"/>
        <v>4</v>
      </c>
      <c r="L85" s="542">
        <f t="shared" si="3"/>
        <v>2</v>
      </c>
      <c r="M85" s="542">
        <f t="shared" si="3"/>
        <v>1</v>
      </c>
    </row>
    <row r="86" spans="1:13" ht="33.75" x14ac:dyDescent="0.2">
      <c r="A86" s="538" t="s">
        <v>445</v>
      </c>
      <c r="B86" s="540">
        <v>1</v>
      </c>
      <c r="C86" s="540">
        <v>5</v>
      </c>
      <c r="D86" s="553">
        <v>0.25</v>
      </c>
      <c r="E86" s="553">
        <v>0.5</v>
      </c>
      <c r="F86" s="553">
        <v>1</v>
      </c>
      <c r="G86" s="485" t="s">
        <v>429</v>
      </c>
      <c r="H86" s="553"/>
      <c r="I86" s="554"/>
      <c r="J86" s="544"/>
      <c r="K86" s="542">
        <f t="shared" si="3"/>
        <v>4</v>
      </c>
      <c r="L86" s="542">
        <f t="shared" si="3"/>
        <v>2</v>
      </c>
      <c r="M86" s="542">
        <f t="shared" si="3"/>
        <v>1</v>
      </c>
    </row>
    <row r="87" spans="1:13" ht="22.5" x14ac:dyDescent="0.2">
      <c r="A87" s="538" t="s">
        <v>446</v>
      </c>
      <c r="B87" s="540">
        <v>1</v>
      </c>
      <c r="C87" s="540">
        <v>5</v>
      </c>
      <c r="D87" s="553">
        <v>0.25</v>
      </c>
      <c r="E87" s="553">
        <v>0.5</v>
      </c>
      <c r="F87" s="553">
        <v>1</v>
      </c>
      <c r="G87" s="485" t="s">
        <v>429</v>
      </c>
      <c r="H87" s="553"/>
      <c r="I87" s="554"/>
      <c r="J87" s="544"/>
      <c r="K87" s="542">
        <f t="shared" si="3"/>
        <v>4</v>
      </c>
      <c r="L87" s="542">
        <f t="shared" si="3"/>
        <v>2</v>
      </c>
      <c r="M87" s="542">
        <f t="shared" si="3"/>
        <v>1</v>
      </c>
    </row>
    <row r="88" spans="1:13" ht="24.75" customHeight="1" x14ac:dyDescent="0.2">
      <c r="A88" s="538" t="s">
        <v>447</v>
      </c>
      <c r="B88" s="540">
        <v>1</v>
      </c>
      <c r="C88" s="540">
        <v>10</v>
      </c>
      <c r="D88" s="553">
        <v>0.25</v>
      </c>
      <c r="E88" s="553">
        <v>0.5</v>
      </c>
      <c r="F88" s="553">
        <v>1</v>
      </c>
      <c r="G88" s="485" t="s">
        <v>429</v>
      </c>
      <c r="H88" s="553"/>
      <c r="I88" s="554"/>
      <c r="J88" s="544"/>
      <c r="K88" s="542">
        <f t="shared" si="3"/>
        <v>4</v>
      </c>
      <c r="L88" s="542">
        <f t="shared" si="3"/>
        <v>2</v>
      </c>
      <c r="M88" s="542">
        <f t="shared" si="3"/>
        <v>1</v>
      </c>
    </row>
    <row r="89" spans="1:13" ht="42.75" customHeight="1" x14ac:dyDescent="0.2">
      <c r="A89" s="538" t="s">
        <v>448</v>
      </c>
      <c r="B89" s="540">
        <v>1</v>
      </c>
      <c r="C89" s="540">
        <v>5</v>
      </c>
      <c r="D89" s="553">
        <v>0.25</v>
      </c>
      <c r="E89" s="553">
        <v>0.5</v>
      </c>
      <c r="F89" s="553">
        <v>1</v>
      </c>
      <c r="G89" s="485" t="s">
        <v>429</v>
      </c>
      <c r="H89" s="553"/>
      <c r="I89" s="554"/>
      <c r="J89" s="544"/>
      <c r="K89" s="542">
        <f t="shared" si="3"/>
        <v>4</v>
      </c>
      <c r="L89" s="542">
        <f t="shared" si="3"/>
        <v>2</v>
      </c>
      <c r="M89" s="542">
        <f t="shared" si="3"/>
        <v>1</v>
      </c>
    </row>
    <row r="90" spans="1:13" ht="23.25" customHeight="1" x14ac:dyDescent="0.2">
      <c r="A90" s="499" t="s">
        <v>449</v>
      </c>
      <c r="B90" s="499"/>
      <c r="C90" s="501">
        <f>SUM(C92:C94)</f>
        <v>15</v>
      </c>
      <c r="D90" s="564">
        <f>SUMPRODUCT($B$92:$B$94,$C$92:$C$94,D92:D94)</f>
        <v>3.75</v>
      </c>
      <c r="E90" s="564">
        <f>SUMPRODUCT($B$92:$B$94,$C$92:$C$94,E92:E94)</f>
        <v>7.5</v>
      </c>
      <c r="F90" s="564">
        <f>SUMPRODUCT($B$92:$B$94,$C$92:$C$94,F92:F94)</f>
        <v>15</v>
      </c>
      <c r="G90" s="477"/>
      <c r="H90" s="501">
        <f>'Riepilogo Servizio'!B5</f>
        <v>6237</v>
      </c>
      <c r="I90" s="547"/>
      <c r="J90" s="525"/>
      <c r="K90" s="544"/>
      <c r="L90" s="544"/>
      <c r="M90" s="544"/>
    </row>
    <row r="91" spans="1:13" ht="33.75" x14ac:dyDescent="0.2">
      <c r="A91" s="532"/>
      <c r="B91" s="533" t="s">
        <v>387</v>
      </c>
      <c r="C91" s="533" t="s">
        <v>427</v>
      </c>
      <c r="D91" s="534" t="s">
        <v>388</v>
      </c>
      <c r="E91" s="534" t="s">
        <v>388</v>
      </c>
      <c r="F91" s="534" t="s">
        <v>388</v>
      </c>
      <c r="G91" s="535"/>
      <c r="H91" s="536"/>
      <c r="I91" s="537"/>
      <c r="J91" s="531"/>
      <c r="K91" s="826" t="s">
        <v>389</v>
      </c>
      <c r="L91" s="826"/>
      <c r="M91" s="826"/>
    </row>
    <row r="92" spans="1:13" ht="24.75" customHeight="1" x14ac:dyDescent="0.2">
      <c r="A92" s="538" t="s">
        <v>450</v>
      </c>
      <c r="B92" s="540">
        <v>1</v>
      </c>
      <c r="C92" s="540">
        <v>5</v>
      </c>
      <c r="D92" s="553">
        <v>0.25</v>
      </c>
      <c r="E92" s="553">
        <v>0.5</v>
      </c>
      <c r="F92" s="553">
        <v>1</v>
      </c>
      <c r="G92" s="819" t="s">
        <v>429</v>
      </c>
      <c r="H92" s="553"/>
      <c r="I92" s="554"/>
      <c r="J92" s="544"/>
      <c r="K92" s="542">
        <f t="shared" ref="K92:M94" si="4">1/D92</f>
        <v>4</v>
      </c>
      <c r="L92" s="542">
        <f t="shared" si="4"/>
        <v>2</v>
      </c>
      <c r="M92" s="542">
        <f t="shared" si="4"/>
        <v>1</v>
      </c>
    </row>
    <row r="93" spans="1:13" ht="33.75" customHeight="1" x14ac:dyDescent="0.2">
      <c r="A93" s="538" t="s">
        <v>451</v>
      </c>
      <c r="B93" s="540">
        <v>1</v>
      </c>
      <c r="C93" s="540">
        <v>5</v>
      </c>
      <c r="D93" s="553">
        <v>0.25</v>
      </c>
      <c r="E93" s="553">
        <v>0.5</v>
      </c>
      <c r="F93" s="553">
        <v>1</v>
      </c>
      <c r="G93" s="844"/>
      <c r="H93" s="553"/>
      <c r="I93" s="554"/>
      <c r="J93" s="544"/>
      <c r="K93" s="542">
        <f t="shared" si="4"/>
        <v>4</v>
      </c>
      <c r="L93" s="542">
        <f t="shared" si="4"/>
        <v>2</v>
      </c>
      <c r="M93" s="542">
        <f t="shared" si="4"/>
        <v>1</v>
      </c>
    </row>
    <row r="94" spans="1:13" ht="33" customHeight="1" x14ac:dyDescent="0.2">
      <c r="A94" s="538" t="s">
        <v>452</v>
      </c>
      <c r="B94" s="540">
        <v>1</v>
      </c>
      <c r="C94" s="540">
        <v>5</v>
      </c>
      <c r="D94" s="553">
        <v>0.25</v>
      </c>
      <c r="E94" s="553">
        <v>0.5</v>
      </c>
      <c r="F94" s="553">
        <v>1</v>
      </c>
      <c r="G94" s="820"/>
      <c r="H94" s="553"/>
      <c r="I94" s="554"/>
      <c r="J94" s="544"/>
      <c r="K94" s="542">
        <f t="shared" si="4"/>
        <v>4</v>
      </c>
      <c r="L94" s="542">
        <f t="shared" si="4"/>
        <v>2</v>
      </c>
      <c r="M94" s="542">
        <f t="shared" si="4"/>
        <v>1</v>
      </c>
    </row>
    <row r="95" spans="1:13" ht="13.5" thickBot="1" x14ac:dyDescent="0.25">
      <c r="A95" s="490"/>
      <c r="B95" s="490"/>
      <c r="C95" s="490"/>
      <c r="D95" s="490"/>
      <c r="E95" s="490"/>
      <c r="F95" s="490"/>
      <c r="G95" s="490"/>
      <c r="H95" s="490"/>
      <c r="I95" s="490"/>
      <c r="J95" s="490"/>
      <c r="K95" s="544"/>
      <c r="L95" s="544"/>
      <c r="M95" s="544"/>
    </row>
    <row r="96" spans="1:13" ht="44.25" customHeight="1" thickBot="1" x14ac:dyDescent="0.25">
      <c r="A96" s="565" t="s">
        <v>453</v>
      </c>
      <c r="B96" s="566"/>
      <c r="C96" s="567" t="s">
        <v>424</v>
      </c>
      <c r="D96" s="568" t="s">
        <v>425</v>
      </c>
      <c r="E96" s="568" t="s">
        <v>425</v>
      </c>
      <c r="F96" s="568" t="s">
        <v>425</v>
      </c>
      <c r="G96" s="567" t="s">
        <v>385</v>
      </c>
      <c r="H96" s="567" t="s">
        <v>364</v>
      </c>
      <c r="I96" s="569">
        <f>SUM(I97)</f>
        <v>15062.355</v>
      </c>
      <c r="J96" s="525"/>
      <c r="K96" s="544"/>
      <c r="L96" s="544"/>
      <c r="M96" s="544"/>
    </row>
    <row r="97" spans="1:13" ht="24.75" customHeight="1" x14ac:dyDescent="0.2">
      <c r="A97" s="499" t="s">
        <v>454</v>
      </c>
      <c r="B97" s="499"/>
      <c r="C97" s="501">
        <f>SUM(C100:C105)</f>
        <v>175</v>
      </c>
      <c r="D97" s="501">
        <f>SUMPRODUCT($B$100:$B$105,$C$100:$C$105,D100:D105,$I$100:$I$105)</f>
        <v>3.8975</v>
      </c>
      <c r="E97" s="501">
        <f>SUMPRODUCT($B$100:$B$105,$C$100:$C$105,E100:E105,$I$100:$I$105)</f>
        <v>3.8975</v>
      </c>
      <c r="F97" s="501">
        <f>SUMPRODUCT($B$100:$B$105,$C$100:$C$105,F100:F105,$I$100:$I$105)</f>
        <v>3.8975</v>
      </c>
      <c r="G97" s="501"/>
      <c r="H97" s="501">
        <f>'Riepilogo Servizio'!B5</f>
        <v>6237</v>
      </c>
      <c r="I97" s="547">
        <f>ROUND(H97*H98,29)</f>
        <v>15062.355</v>
      </c>
      <c r="J97" s="525"/>
      <c r="K97" s="544"/>
      <c r="L97" s="544"/>
      <c r="M97" s="544"/>
    </row>
    <row r="98" spans="1:13" x14ac:dyDescent="0.2">
      <c r="A98" s="548"/>
      <c r="B98" s="548"/>
      <c r="C98" s="549" t="s">
        <v>396</v>
      </c>
      <c r="D98" s="500"/>
      <c r="E98" s="500"/>
      <c r="F98" s="500"/>
      <c r="G98" s="501"/>
      <c r="H98" s="502">
        <f>SUMPRODUCT(H100:H105,I100:I105)</f>
        <v>2.415</v>
      </c>
      <c r="I98" s="500"/>
      <c r="J98" s="550"/>
      <c r="K98" s="544"/>
      <c r="L98" s="544"/>
      <c r="M98" s="544"/>
    </row>
    <row r="99" spans="1:13" ht="45" x14ac:dyDescent="0.2">
      <c r="A99" s="532"/>
      <c r="B99" s="533" t="s">
        <v>387</v>
      </c>
      <c r="C99" s="533" t="s">
        <v>427</v>
      </c>
      <c r="D99" s="534" t="s">
        <v>388</v>
      </c>
      <c r="E99" s="534" t="s">
        <v>388</v>
      </c>
      <c r="F99" s="534" t="s">
        <v>388</v>
      </c>
      <c r="G99" s="535"/>
      <c r="H99" s="533" t="s">
        <v>455</v>
      </c>
      <c r="I99" s="536" t="s">
        <v>456</v>
      </c>
      <c r="J99" s="473"/>
      <c r="K99" s="826" t="s">
        <v>389</v>
      </c>
      <c r="L99" s="826"/>
      <c r="M99" s="826"/>
    </row>
    <row r="100" spans="1:13" ht="33" customHeight="1" x14ac:dyDescent="0.2">
      <c r="A100" s="538" t="s">
        <v>457</v>
      </c>
      <c r="B100" s="540">
        <v>2</v>
      </c>
      <c r="C100" s="540">
        <v>15</v>
      </c>
      <c r="D100" s="553">
        <v>0.25</v>
      </c>
      <c r="E100" s="553">
        <v>0.25</v>
      </c>
      <c r="F100" s="553">
        <v>0.25</v>
      </c>
      <c r="G100" s="540"/>
      <c r="H100" s="570">
        <v>10</v>
      </c>
      <c r="I100" s="560">
        <f>'Riepilogo Servizio'!B7</f>
        <v>1E-3</v>
      </c>
      <c r="J100" s="557"/>
      <c r="K100" s="542">
        <f t="shared" ref="K100:M105" si="5">1/D100</f>
        <v>4</v>
      </c>
      <c r="L100" s="542">
        <f t="shared" si="5"/>
        <v>4</v>
      </c>
      <c r="M100" s="542">
        <f t="shared" si="5"/>
        <v>4</v>
      </c>
    </row>
    <row r="101" spans="1:13" ht="33" customHeight="1" x14ac:dyDescent="0.2">
      <c r="A101" s="538" t="s">
        <v>458</v>
      </c>
      <c r="B101" s="540">
        <v>2</v>
      </c>
      <c r="C101" s="540">
        <v>5</v>
      </c>
      <c r="D101" s="553">
        <v>1</v>
      </c>
      <c r="E101" s="553">
        <v>1</v>
      </c>
      <c r="F101" s="553">
        <v>1</v>
      </c>
      <c r="G101" s="540"/>
      <c r="H101" s="570">
        <v>5</v>
      </c>
      <c r="I101" s="560">
        <f>'Riepilogo Servizio'!B7</f>
        <v>1E-3</v>
      </c>
      <c r="J101" s="557"/>
      <c r="K101" s="542">
        <f t="shared" si="5"/>
        <v>1</v>
      </c>
      <c r="L101" s="542">
        <f t="shared" si="5"/>
        <v>1</v>
      </c>
      <c r="M101" s="542">
        <f t="shared" si="5"/>
        <v>1</v>
      </c>
    </row>
    <row r="102" spans="1:13" ht="33" customHeight="1" x14ac:dyDescent="0.2">
      <c r="A102" s="538" t="s">
        <v>459</v>
      </c>
      <c r="B102" s="540">
        <v>2</v>
      </c>
      <c r="C102" s="540">
        <v>30</v>
      </c>
      <c r="D102" s="553">
        <v>1</v>
      </c>
      <c r="E102" s="553">
        <v>1</v>
      </c>
      <c r="F102" s="553">
        <v>1</v>
      </c>
      <c r="G102" s="540"/>
      <c r="H102" s="570">
        <v>100</v>
      </c>
      <c r="I102" s="560">
        <v>1E-3</v>
      </c>
      <c r="J102" s="557"/>
      <c r="K102" s="542">
        <f>1/D102</f>
        <v>1</v>
      </c>
      <c r="L102" s="542">
        <f t="shared" si="5"/>
        <v>1</v>
      </c>
      <c r="M102" s="542">
        <f t="shared" si="5"/>
        <v>1</v>
      </c>
    </row>
    <row r="103" spans="1:13" ht="33" customHeight="1" x14ac:dyDescent="0.2">
      <c r="A103" s="538" t="s">
        <v>460</v>
      </c>
      <c r="B103" s="540">
        <v>2</v>
      </c>
      <c r="C103" s="540">
        <v>60</v>
      </c>
      <c r="D103" s="553">
        <v>1</v>
      </c>
      <c r="E103" s="553">
        <v>1</v>
      </c>
      <c r="F103" s="553">
        <v>1</v>
      </c>
      <c r="G103" s="540"/>
      <c r="H103" s="570">
        <v>250</v>
      </c>
      <c r="I103" s="571">
        <v>1E-3</v>
      </c>
      <c r="J103" s="557"/>
      <c r="K103" s="542">
        <f>1/D103</f>
        <v>1</v>
      </c>
      <c r="L103" s="542">
        <f t="shared" si="5"/>
        <v>1</v>
      </c>
      <c r="M103" s="542">
        <f t="shared" si="5"/>
        <v>1</v>
      </c>
    </row>
    <row r="104" spans="1:13" ht="33" customHeight="1" x14ac:dyDescent="0.2">
      <c r="A104" s="538" t="s">
        <v>461</v>
      </c>
      <c r="B104" s="540">
        <v>1</v>
      </c>
      <c r="C104" s="540">
        <v>60</v>
      </c>
      <c r="D104" s="553">
        <v>1</v>
      </c>
      <c r="E104" s="553">
        <v>1</v>
      </c>
      <c r="F104" s="553">
        <v>1</v>
      </c>
      <c r="G104" s="540"/>
      <c r="H104" s="570">
        <v>40</v>
      </c>
      <c r="I104" s="571">
        <v>0.02</v>
      </c>
      <c r="J104" s="557"/>
      <c r="K104" s="542">
        <f>1/D104</f>
        <v>1</v>
      </c>
      <c r="L104" s="542">
        <f t="shared" si="5"/>
        <v>1</v>
      </c>
      <c r="M104" s="542">
        <f t="shared" si="5"/>
        <v>1</v>
      </c>
    </row>
    <row r="105" spans="1:13" ht="33.75" x14ac:dyDescent="0.2">
      <c r="A105" s="538" t="s">
        <v>462</v>
      </c>
      <c r="B105" s="540">
        <v>2</v>
      </c>
      <c r="C105" s="540">
        <v>5</v>
      </c>
      <c r="D105" s="553">
        <v>1</v>
      </c>
      <c r="E105" s="553">
        <v>1</v>
      </c>
      <c r="F105" s="553">
        <v>1</v>
      </c>
      <c r="G105" s="540"/>
      <c r="H105" s="570">
        <v>5</v>
      </c>
      <c r="I105" s="560">
        <v>0.25</v>
      </c>
      <c r="J105" s="557"/>
      <c r="K105" s="542">
        <f t="shared" si="5"/>
        <v>1</v>
      </c>
      <c r="L105" s="542">
        <f t="shared" si="5"/>
        <v>1</v>
      </c>
      <c r="M105" s="542">
        <f t="shared" si="5"/>
        <v>1</v>
      </c>
    </row>
    <row r="106" spans="1:13" ht="33" customHeight="1" x14ac:dyDescent="0.25">
      <c r="A106" s="572"/>
      <c r="B106" s="572"/>
      <c r="C106" s="572"/>
      <c r="D106" s="572"/>
      <c r="E106" s="572"/>
      <c r="F106" s="572"/>
      <c r="G106" s="572"/>
      <c r="H106" s="572"/>
      <c r="I106" s="572"/>
      <c r="J106" s="572"/>
    </row>
    <row r="107" spans="1:13" ht="15" x14ac:dyDescent="0.25">
      <c r="C107" s="572"/>
      <c r="D107" s="572"/>
      <c r="E107" s="572"/>
      <c r="F107" s="572"/>
      <c r="H107" s="474"/>
    </row>
    <row r="108" spans="1:13" ht="23.25" x14ac:dyDescent="0.35">
      <c r="A108" s="573"/>
      <c r="B108" s="573"/>
      <c r="C108" s="572"/>
      <c r="D108" s="572"/>
      <c r="E108" s="572"/>
      <c r="F108" s="572"/>
      <c r="H108" s="474"/>
    </row>
    <row r="109" spans="1:13" ht="15" x14ac:dyDescent="0.25">
      <c r="C109" s="572"/>
      <c r="D109" s="572"/>
      <c r="E109" s="572"/>
      <c r="F109" s="572"/>
      <c r="H109" s="474"/>
    </row>
    <row r="110" spans="1:13" ht="15" x14ac:dyDescent="0.25">
      <c r="A110" s="574"/>
      <c r="B110" s="574"/>
      <c r="C110" s="572"/>
      <c r="D110" s="572"/>
      <c r="E110" s="572"/>
      <c r="F110" s="572"/>
      <c r="G110" s="541"/>
    </row>
    <row r="111" spans="1:13" x14ac:dyDescent="0.2">
      <c r="A111" s="574"/>
      <c r="B111" s="574"/>
      <c r="G111" s="541"/>
    </row>
    <row r="112" spans="1:13" x14ac:dyDescent="0.2">
      <c r="A112" s="574"/>
      <c r="B112" s="574"/>
      <c r="G112" s="541"/>
    </row>
    <row r="113" spans="1:2" x14ac:dyDescent="0.2">
      <c r="A113" s="574"/>
      <c r="B113" s="574"/>
    </row>
    <row r="114" spans="1:2" x14ac:dyDescent="0.2">
      <c r="A114" s="574"/>
      <c r="B114" s="574"/>
    </row>
    <row r="115" spans="1:2" x14ac:dyDescent="0.2">
      <c r="A115" s="574"/>
      <c r="B115" s="574"/>
    </row>
    <row r="116" spans="1:2" x14ac:dyDescent="0.2">
      <c r="A116" s="574"/>
      <c r="B116" s="574"/>
    </row>
    <row r="117" spans="1:2" x14ac:dyDescent="0.2">
      <c r="A117" s="574"/>
      <c r="B117" s="574"/>
    </row>
    <row r="118" spans="1:2" x14ac:dyDescent="0.2">
      <c r="A118" s="574"/>
      <c r="B118" s="574"/>
    </row>
    <row r="119" spans="1:2" x14ac:dyDescent="0.2">
      <c r="A119" s="574"/>
      <c r="B119" s="574"/>
    </row>
    <row r="120" spans="1:2" x14ac:dyDescent="0.2">
      <c r="A120" s="574"/>
      <c r="B120" s="574"/>
    </row>
    <row r="121" spans="1:2" x14ac:dyDescent="0.2">
      <c r="A121" s="574"/>
      <c r="B121" s="574"/>
    </row>
    <row r="122" spans="1:2" x14ac:dyDescent="0.2">
      <c r="A122" s="574"/>
      <c r="B122" s="574"/>
    </row>
    <row r="123" spans="1:2" x14ac:dyDescent="0.2">
      <c r="A123" s="574"/>
      <c r="B123" s="574"/>
    </row>
    <row r="124" spans="1:2" x14ac:dyDescent="0.2">
      <c r="A124" s="574"/>
      <c r="B124" s="574"/>
    </row>
    <row r="125" spans="1:2" x14ac:dyDescent="0.2">
      <c r="A125" s="574"/>
      <c r="B125" s="574"/>
    </row>
    <row r="126" spans="1:2" x14ac:dyDescent="0.2">
      <c r="A126" s="574"/>
      <c r="B126" s="574"/>
    </row>
    <row r="127" spans="1:2" x14ac:dyDescent="0.2">
      <c r="A127" s="574"/>
      <c r="B127" s="574"/>
    </row>
    <row r="128" spans="1:2" x14ac:dyDescent="0.2">
      <c r="A128" s="574"/>
      <c r="B128" s="574"/>
    </row>
    <row r="129" spans="1:2" x14ac:dyDescent="0.2">
      <c r="A129" s="574"/>
      <c r="B129" s="574"/>
    </row>
    <row r="130" spans="1:2" x14ac:dyDescent="0.2">
      <c r="A130" s="574"/>
      <c r="B130" s="574"/>
    </row>
    <row r="131" spans="1:2" x14ac:dyDescent="0.2">
      <c r="A131" s="574"/>
      <c r="B131" s="574"/>
    </row>
    <row r="132" spans="1:2" x14ac:dyDescent="0.2">
      <c r="A132" s="574"/>
      <c r="B132" s="574"/>
    </row>
    <row r="133" spans="1:2" x14ac:dyDescent="0.2">
      <c r="A133" s="574"/>
      <c r="B133" s="574"/>
    </row>
    <row r="134" spans="1:2" x14ac:dyDescent="0.2">
      <c r="A134" s="574"/>
      <c r="B134" s="574"/>
    </row>
    <row r="135" spans="1:2" x14ac:dyDescent="0.2">
      <c r="A135" s="574"/>
      <c r="B135" s="574"/>
    </row>
    <row r="136" spans="1:2" x14ac:dyDescent="0.2">
      <c r="A136" s="574"/>
      <c r="B136" s="574"/>
    </row>
    <row r="137" spans="1:2" x14ac:dyDescent="0.2">
      <c r="A137" s="574"/>
      <c r="B137" s="574"/>
    </row>
    <row r="138" spans="1:2" x14ac:dyDescent="0.2">
      <c r="A138" s="574"/>
      <c r="B138" s="574"/>
    </row>
    <row r="139" spans="1:2" x14ac:dyDescent="0.2">
      <c r="A139" s="574"/>
      <c r="B139" s="574"/>
    </row>
    <row r="140" spans="1:2" x14ac:dyDescent="0.2">
      <c r="A140" s="574"/>
      <c r="B140" s="574"/>
    </row>
    <row r="141" spans="1:2" x14ac:dyDescent="0.2">
      <c r="A141" s="574"/>
      <c r="B141" s="574"/>
    </row>
    <row r="142" spans="1:2" x14ac:dyDescent="0.2">
      <c r="A142" s="574"/>
      <c r="B142" s="574"/>
    </row>
    <row r="143" spans="1:2" x14ac:dyDescent="0.2">
      <c r="A143" s="574"/>
      <c r="B143" s="574"/>
    </row>
    <row r="144" spans="1:2" x14ac:dyDescent="0.2">
      <c r="A144" s="574"/>
      <c r="B144" s="574"/>
    </row>
    <row r="145" spans="1:2" x14ac:dyDescent="0.2">
      <c r="A145" s="574"/>
      <c r="B145" s="574"/>
    </row>
    <row r="146" spans="1:2" x14ac:dyDescent="0.2">
      <c r="A146" s="574"/>
      <c r="B146" s="574"/>
    </row>
    <row r="147" spans="1:2" x14ac:dyDescent="0.2">
      <c r="A147" s="574"/>
      <c r="B147" s="574"/>
    </row>
    <row r="148" spans="1:2" x14ac:dyDescent="0.2">
      <c r="A148" s="574"/>
      <c r="B148" s="574"/>
    </row>
    <row r="149" spans="1:2" x14ac:dyDescent="0.2">
      <c r="A149" s="574"/>
      <c r="B149" s="574"/>
    </row>
    <row r="150" spans="1:2" x14ac:dyDescent="0.2">
      <c r="A150" s="574"/>
      <c r="B150" s="574"/>
    </row>
    <row r="151" spans="1:2" x14ac:dyDescent="0.2">
      <c r="A151" s="574"/>
      <c r="B151" s="574"/>
    </row>
    <row r="152" spans="1:2" x14ac:dyDescent="0.2">
      <c r="A152" s="574"/>
      <c r="B152" s="574"/>
    </row>
    <row r="153" spans="1:2" x14ac:dyDescent="0.2">
      <c r="A153" s="574"/>
      <c r="B153" s="574"/>
    </row>
    <row r="154" spans="1:2" x14ac:dyDescent="0.2">
      <c r="A154" s="574"/>
      <c r="B154" s="574"/>
    </row>
    <row r="155" spans="1:2" x14ac:dyDescent="0.2">
      <c r="A155" s="574"/>
      <c r="B155" s="574"/>
    </row>
    <row r="156" spans="1:2" x14ac:dyDescent="0.2">
      <c r="A156" s="574"/>
      <c r="B156" s="574"/>
    </row>
    <row r="157" spans="1:2" x14ac:dyDescent="0.2">
      <c r="A157" s="574"/>
      <c r="B157" s="574"/>
    </row>
    <row r="158" spans="1:2" x14ac:dyDescent="0.2">
      <c r="A158" s="574"/>
      <c r="B158" s="574"/>
    </row>
    <row r="159" spans="1:2" x14ac:dyDescent="0.2">
      <c r="A159" s="574"/>
      <c r="B159" s="574"/>
    </row>
    <row r="160" spans="1:2" x14ac:dyDescent="0.2">
      <c r="A160" s="574"/>
      <c r="B160" s="574"/>
    </row>
    <row r="161" spans="1:2" x14ac:dyDescent="0.2">
      <c r="A161" s="574"/>
      <c r="B161" s="574"/>
    </row>
    <row r="162" spans="1:2" x14ac:dyDescent="0.2">
      <c r="A162" s="574"/>
      <c r="B162" s="574"/>
    </row>
    <row r="163" spans="1:2" x14ac:dyDescent="0.2">
      <c r="A163" s="574"/>
      <c r="B163" s="574"/>
    </row>
    <row r="164" spans="1:2" x14ac:dyDescent="0.2">
      <c r="A164" s="574"/>
      <c r="B164" s="574"/>
    </row>
    <row r="165" spans="1:2" x14ac:dyDescent="0.2">
      <c r="A165" s="574"/>
      <c r="B165" s="574"/>
    </row>
    <row r="166" spans="1:2" x14ac:dyDescent="0.2">
      <c r="A166" s="574"/>
      <c r="B166" s="574"/>
    </row>
    <row r="167" spans="1:2" x14ac:dyDescent="0.2">
      <c r="A167" s="574"/>
      <c r="B167" s="574"/>
    </row>
    <row r="168" spans="1:2" x14ac:dyDescent="0.2">
      <c r="A168" s="574"/>
      <c r="B168" s="574"/>
    </row>
    <row r="169" spans="1:2" x14ac:dyDescent="0.2">
      <c r="A169" s="574"/>
      <c r="B169" s="574"/>
    </row>
    <row r="170" spans="1:2" x14ac:dyDescent="0.2">
      <c r="A170" s="574"/>
      <c r="B170" s="574"/>
    </row>
    <row r="171" spans="1:2" x14ac:dyDescent="0.2">
      <c r="A171" s="574"/>
      <c r="B171" s="574"/>
    </row>
    <row r="172" spans="1:2" x14ac:dyDescent="0.2">
      <c r="A172" s="574"/>
      <c r="B172" s="574"/>
    </row>
    <row r="173" spans="1:2" x14ac:dyDescent="0.2">
      <c r="A173" s="574"/>
      <c r="B173" s="574"/>
    </row>
    <row r="174" spans="1:2" x14ac:dyDescent="0.2">
      <c r="A174" s="574"/>
      <c r="B174" s="574"/>
    </row>
    <row r="175" spans="1:2" x14ac:dyDescent="0.2">
      <c r="A175" s="574"/>
      <c r="B175" s="574"/>
    </row>
    <row r="176" spans="1:2" x14ac:dyDescent="0.2">
      <c r="A176" s="574"/>
      <c r="B176" s="574"/>
    </row>
    <row r="177" spans="1:2" x14ac:dyDescent="0.2">
      <c r="A177" s="574"/>
      <c r="B177" s="574"/>
    </row>
    <row r="178" spans="1:2" x14ac:dyDescent="0.2">
      <c r="A178" s="574"/>
      <c r="B178" s="574"/>
    </row>
    <row r="179" spans="1:2" x14ac:dyDescent="0.2">
      <c r="A179" s="574"/>
      <c r="B179" s="574"/>
    </row>
    <row r="180" spans="1:2" x14ac:dyDescent="0.2">
      <c r="A180" s="574"/>
      <c r="B180" s="574"/>
    </row>
    <row r="181" spans="1:2" x14ac:dyDescent="0.2">
      <c r="A181" s="574"/>
      <c r="B181" s="574"/>
    </row>
    <row r="182" spans="1:2" x14ac:dyDescent="0.2">
      <c r="A182" s="574"/>
      <c r="B182" s="574"/>
    </row>
    <row r="183" spans="1:2" x14ac:dyDescent="0.2">
      <c r="A183" s="574"/>
      <c r="B183" s="574"/>
    </row>
    <row r="184" spans="1:2" x14ac:dyDescent="0.2">
      <c r="A184" s="574"/>
      <c r="B184" s="574"/>
    </row>
    <row r="185" spans="1:2" x14ac:dyDescent="0.2">
      <c r="A185" s="574"/>
      <c r="B185" s="574"/>
    </row>
    <row r="186" spans="1:2" x14ac:dyDescent="0.2">
      <c r="A186" s="574"/>
      <c r="B186" s="574"/>
    </row>
    <row r="187" spans="1:2" x14ac:dyDescent="0.2">
      <c r="A187" s="574"/>
      <c r="B187" s="574"/>
    </row>
    <row r="188" spans="1:2" x14ac:dyDescent="0.2">
      <c r="A188" s="574"/>
      <c r="B188" s="574"/>
    </row>
    <row r="189" spans="1:2" x14ac:dyDescent="0.2">
      <c r="A189" s="574"/>
      <c r="B189" s="574"/>
    </row>
    <row r="190" spans="1:2" x14ac:dyDescent="0.2">
      <c r="A190" s="574"/>
      <c r="B190" s="574"/>
    </row>
    <row r="191" spans="1:2" x14ac:dyDescent="0.2">
      <c r="A191" s="574"/>
      <c r="B191" s="574"/>
    </row>
    <row r="192" spans="1:2" x14ac:dyDescent="0.2">
      <c r="A192" s="574"/>
      <c r="B192" s="574"/>
    </row>
    <row r="193" spans="1:2" x14ac:dyDescent="0.2">
      <c r="A193" s="574"/>
      <c r="B193" s="574"/>
    </row>
    <row r="194" spans="1:2" x14ac:dyDescent="0.2">
      <c r="A194" s="574"/>
      <c r="B194" s="574"/>
    </row>
    <row r="195" spans="1:2" x14ac:dyDescent="0.2">
      <c r="A195" s="574"/>
      <c r="B195" s="574"/>
    </row>
    <row r="196" spans="1:2" x14ac:dyDescent="0.2">
      <c r="A196" s="574"/>
      <c r="B196" s="574"/>
    </row>
    <row r="197" spans="1:2" x14ac:dyDescent="0.2">
      <c r="A197" s="574"/>
      <c r="B197" s="574"/>
    </row>
    <row r="198" spans="1:2" x14ac:dyDescent="0.2">
      <c r="A198" s="574"/>
      <c r="B198" s="574"/>
    </row>
    <row r="199" spans="1:2" x14ac:dyDescent="0.2">
      <c r="A199" s="574"/>
      <c r="B199" s="574"/>
    </row>
    <row r="200" spans="1:2" x14ac:dyDescent="0.2">
      <c r="A200" s="574"/>
      <c r="B200" s="574"/>
    </row>
    <row r="201" spans="1:2" x14ac:dyDescent="0.2">
      <c r="A201" s="574"/>
      <c r="B201" s="574"/>
    </row>
    <row r="202" spans="1:2" x14ac:dyDescent="0.2">
      <c r="A202" s="574"/>
      <c r="B202" s="574"/>
    </row>
    <row r="203" spans="1:2" x14ac:dyDescent="0.2">
      <c r="A203" s="574"/>
      <c r="B203" s="574"/>
    </row>
    <row r="204" spans="1:2" x14ac:dyDescent="0.2">
      <c r="A204" s="574"/>
      <c r="B204" s="574"/>
    </row>
    <row r="205" spans="1:2" x14ac:dyDescent="0.2">
      <c r="A205" s="574"/>
      <c r="B205" s="574"/>
    </row>
    <row r="206" spans="1:2" x14ac:dyDescent="0.2">
      <c r="A206" s="574"/>
      <c r="B206" s="574"/>
    </row>
    <row r="207" spans="1:2" x14ac:dyDescent="0.2">
      <c r="A207" s="574"/>
      <c r="B207" s="574"/>
    </row>
    <row r="208" spans="1:2" x14ac:dyDescent="0.2">
      <c r="A208" s="574"/>
      <c r="B208" s="574"/>
    </row>
    <row r="209" spans="1:2" x14ac:dyDescent="0.2">
      <c r="A209" s="574"/>
      <c r="B209" s="574"/>
    </row>
    <row r="210" spans="1:2" x14ac:dyDescent="0.2">
      <c r="A210" s="574"/>
      <c r="B210" s="574"/>
    </row>
    <row r="211" spans="1:2" x14ac:dyDescent="0.2">
      <c r="A211" s="574"/>
      <c r="B211" s="574"/>
    </row>
    <row r="212" spans="1:2" x14ac:dyDescent="0.2">
      <c r="A212" s="574"/>
      <c r="B212" s="574"/>
    </row>
    <row r="213" spans="1:2" x14ac:dyDescent="0.2">
      <c r="A213" s="574"/>
      <c r="B213" s="574"/>
    </row>
    <row r="214" spans="1:2" x14ac:dyDescent="0.2">
      <c r="A214" s="574"/>
      <c r="B214" s="574"/>
    </row>
    <row r="215" spans="1:2" x14ac:dyDescent="0.2">
      <c r="A215" s="574"/>
      <c r="B215" s="574"/>
    </row>
    <row r="216" spans="1:2" x14ac:dyDescent="0.2">
      <c r="A216" s="574"/>
      <c r="B216" s="574"/>
    </row>
    <row r="217" spans="1:2" x14ac:dyDescent="0.2">
      <c r="A217" s="574"/>
      <c r="B217" s="574"/>
    </row>
    <row r="218" spans="1:2" x14ac:dyDescent="0.2">
      <c r="A218" s="574"/>
      <c r="B218" s="574"/>
    </row>
    <row r="219" spans="1:2" x14ac:dyDescent="0.2">
      <c r="A219" s="574"/>
      <c r="B219" s="574"/>
    </row>
    <row r="220" spans="1:2" x14ac:dyDescent="0.2">
      <c r="A220" s="574"/>
      <c r="B220" s="574"/>
    </row>
  </sheetData>
  <mergeCells count="83">
    <mergeCell ref="K91:M91"/>
    <mergeCell ref="G92:G94"/>
    <mergeCell ref="K99:M99"/>
    <mergeCell ref="H80:H81"/>
    <mergeCell ref="I80:I81"/>
    <mergeCell ref="K80:K81"/>
    <mergeCell ref="L80:L81"/>
    <mergeCell ref="M80:M81"/>
    <mergeCell ref="K83:M83"/>
    <mergeCell ref="K79:M79"/>
    <mergeCell ref="B80:B81"/>
    <mergeCell ref="C80:C81"/>
    <mergeCell ref="D80:D81"/>
    <mergeCell ref="E80:E81"/>
    <mergeCell ref="F80:F81"/>
    <mergeCell ref="G80:G81"/>
    <mergeCell ref="K61:M61"/>
    <mergeCell ref="K67:M67"/>
    <mergeCell ref="B69:B77"/>
    <mergeCell ref="C69:C77"/>
    <mergeCell ref="D69:D77"/>
    <mergeCell ref="E69:E77"/>
    <mergeCell ref="F69:F77"/>
    <mergeCell ref="G69:G77"/>
    <mergeCell ref="H69:H77"/>
    <mergeCell ref="I69:I77"/>
    <mergeCell ref="K69:K77"/>
    <mergeCell ref="L69:L77"/>
    <mergeCell ref="M69:M77"/>
    <mergeCell ref="K58:M58"/>
    <mergeCell ref="B55:B56"/>
    <mergeCell ref="C55:C56"/>
    <mergeCell ref="D55:D56"/>
    <mergeCell ref="E55:E56"/>
    <mergeCell ref="F55:F56"/>
    <mergeCell ref="G55:G56"/>
    <mergeCell ref="H55:H56"/>
    <mergeCell ref="I55:I56"/>
    <mergeCell ref="K55:K56"/>
    <mergeCell ref="L55:L56"/>
    <mergeCell ref="M55:M56"/>
    <mergeCell ref="K54:M54"/>
    <mergeCell ref="B48:B52"/>
    <mergeCell ref="C48:C52"/>
    <mergeCell ref="D48:D52"/>
    <mergeCell ref="E48:E52"/>
    <mergeCell ref="F48:F52"/>
    <mergeCell ref="G48:G52"/>
    <mergeCell ref="H48:H52"/>
    <mergeCell ref="I48:I52"/>
    <mergeCell ref="K48:K52"/>
    <mergeCell ref="L48:L52"/>
    <mergeCell ref="M48:M52"/>
    <mergeCell ref="K47:M47"/>
    <mergeCell ref="B41:B44"/>
    <mergeCell ref="C41:C44"/>
    <mergeCell ref="D41:D44"/>
    <mergeCell ref="E41:E44"/>
    <mergeCell ref="F41:F44"/>
    <mergeCell ref="G41:G44"/>
    <mergeCell ref="H41:H44"/>
    <mergeCell ref="I41:I44"/>
    <mergeCell ref="K41:K44"/>
    <mergeCell ref="L41:L44"/>
    <mergeCell ref="M41:M44"/>
    <mergeCell ref="K31:M31"/>
    <mergeCell ref="B25:B28"/>
    <mergeCell ref="C25:C28"/>
    <mergeCell ref="D25:D28"/>
    <mergeCell ref="E25:E28"/>
    <mergeCell ref="F25:F28"/>
    <mergeCell ref="G25:G28"/>
    <mergeCell ref="H25:H28"/>
    <mergeCell ref="I25:I28"/>
    <mergeCell ref="K25:K27"/>
    <mergeCell ref="L25:L27"/>
    <mergeCell ref="M25:M27"/>
    <mergeCell ref="K24:M24"/>
    <mergeCell ref="A1:I1"/>
    <mergeCell ref="D2:F2"/>
    <mergeCell ref="G2:G3"/>
    <mergeCell ref="H2:H3"/>
    <mergeCell ref="A18:F18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9" fitToHeight="100" orientation="portrait" r:id="rId1"/>
  <headerFooter alignWithMargins="0">
    <oddHeader>&amp;C&amp;"-,Grassetto"&amp;14Comune di Ferrara&amp;"-,Normale"&amp;11
Analisi Interventi IP</oddHeader>
  </headerFooter>
</worksheet>
</file>

<file path=docMetadata/LabelInfo.xml><?xml version="1.0" encoding="utf-8"?>
<clbl:labelList xmlns:clbl="http://schemas.microsoft.com/office/2020/mipLabelMetadata">
  <clbl:label id="{05f73a75-999a-4b6f-83c1-8a9511c3f90d}" enabled="0" method="" siteId="{05f73a75-999a-4b6f-83c1-8a9511c3f90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15</vt:i4>
      </vt:variant>
      <vt:variant>
        <vt:lpstr>Intervalli denominati</vt:lpstr>
      </vt:variant>
      <vt:variant>
        <vt:i4>12</vt:i4>
      </vt:variant>
    </vt:vector>
  </HeadingPairs>
  <TitlesOfParts>
    <vt:vector size="27" baseType="lpstr">
      <vt:lpstr>IN</vt:lpstr>
      <vt:lpstr>Riepilogo</vt:lpstr>
      <vt:lpstr>Dati di base</vt:lpstr>
      <vt:lpstr>Piano di lavoro</vt:lpstr>
      <vt:lpstr>Investimenti</vt:lpstr>
      <vt:lpstr>CE CC opz1</vt:lpstr>
      <vt:lpstr>RF VAL_INV opz1</vt:lpstr>
      <vt:lpstr>SP opz1</vt:lpstr>
      <vt:lpstr>CE CC opz2</vt:lpstr>
      <vt:lpstr>RF VAL_INV opz2</vt:lpstr>
      <vt:lpstr>SP opz2</vt:lpstr>
      <vt:lpstr>QUADRO ECONOMICO</vt:lpstr>
      <vt:lpstr>WACC+FONTI</vt:lpstr>
      <vt:lpstr>Riepilogo Servizio</vt:lpstr>
      <vt:lpstr>IP servizio</vt:lpstr>
      <vt:lpstr>'CE CC opz1'!Area_stampa</vt:lpstr>
      <vt:lpstr>'CE CC opz2'!Area_stampa</vt:lpstr>
      <vt:lpstr>'Dati di base'!Area_stampa</vt:lpstr>
      <vt:lpstr>Investimenti!Area_stampa</vt:lpstr>
      <vt:lpstr>'IP servizio'!Area_stampa</vt:lpstr>
      <vt:lpstr>'Piano di lavoro'!Area_stampa</vt:lpstr>
      <vt:lpstr>'RF VAL_INV opz1'!Area_stampa</vt:lpstr>
      <vt:lpstr>'RF VAL_INV opz2'!Area_stampa</vt:lpstr>
      <vt:lpstr>'Riepilogo Servizio'!Area_stampa</vt:lpstr>
      <vt:lpstr>'SP opz1'!Area_stampa</vt:lpstr>
      <vt:lpstr>'SP opz2'!Area_stampa</vt:lpstr>
      <vt:lpstr>'IP servizio'!Titoli_stampa</vt:lpstr>
    </vt:vector>
  </TitlesOfParts>
  <Manager/>
  <Company>Hera S.p.A.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Ciaroni federico</dc:creator>
  <cp:keywords/>
  <dc:description/>
  <cp:lastModifiedBy>Roberta Biserna - LaBase</cp:lastModifiedBy>
  <cp:revision/>
  <cp:lastPrinted>2026-02-26T17:14:55Z</cp:lastPrinted>
  <dcterms:created xsi:type="dcterms:W3CDTF">2019-01-21T11:28:41Z</dcterms:created>
  <dcterms:modified xsi:type="dcterms:W3CDTF">2026-02-26T17:15:23Z</dcterms:modified>
  <cp:category/>
  <cp:contentStatus/>
</cp:coreProperties>
</file>